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85" windowWidth="19005" windowHeight="11460" tabRatio="724" activeTab="2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B &amp; WM" sheetId="5" r:id="rId5"/>
    <sheet name="PB &amp; WM_2" sheetId="6" r:id="rId6"/>
    <sheet name="WMC" sheetId="7" r:id="rId7"/>
    <sheet name="WMC_2" sheetId="8" r:id="rId8"/>
    <sheet name="CIC" sheetId="9" r:id="rId9"/>
    <sheet name="Asset Management" sheetId="10" r:id="rId10"/>
    <sheet name="Investment Banking" sheetId="11" r:id="rId11"/>
    <sheet name="Corporate Center" sheetId="12" r:id="rId12"/>
    <sheet name="Assets under Management" sheetId="13" r:id="rId13"/>
  </sheets>
  <definedNames>
    <definedName name="_xlnm.Print_Area" localSheetId="9">'Asset Management'!$A$1:$S$83</definedName>
    <definedName name="_xlnm.Print_Area" localSheetId="12">'Assets under Management'!$A$1:$S$27</definedName>
    <definedName name="_xlnm.Print_Area" localSheetId="8">'CIC'!$A$1:$S$25</definedName>
    <definedName name="_xlnm.Print_Area" localSheetId="2">'Core Results'!$A$1:$S$48</definedName>
    <definedName name="_xlnm.Print_Area" localSheetId="3">'Core Results by region'!$A$1:$S$24</definedName>
    <definedName name="_xlnm.Print_Area" localSheetId="11">'Corporate Center'!$A$1:$S$21</definedName>
    <definedName name="_xlnm.Print_Area" localSheetId="0">'Credit Suisse'!$A$1:$S$79</definedName>
    <definedName name="_xlnm.Print_Area" localSheetId="10">'Investment Banking'!$A$1:$S$54</definedName>
    <definedName name="_xlnm.Print_Area" localSheetId="1">'Noncontrolling interests'!$A$1:$S$22</definedName>
    <definedName name="_xlnm.Print_Area" localSheetId="4">'PB &amp; WM'!$A$1:$S$63</definedName>
    <definedName name="_xlnm.Print_Area" localSheetId="5">'PB &amp; WM_2'!$A$1:$S$23</definedName>
    <definedName name="_xlnm.Print_Area" localSheetId="6">'WMC'!$A$1:$S$33</definedName>
    <definedName name="_xlnm.Print_Area" localSheetId="7">'WMC_2'!$A$1:$S$50</definedName>
    <definedName name="_xlnm.Print_Titles" localSheetId="9">'Asset Management'!$B:$B,'Asset Management'!$1:$3</definedName>
    <definedName name="_xlnm.Print_Titles" localSheetId="12">'Assets under Management'!$B:$B,'Assets under Management'!$1:$3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1">'Corporate Center'!$B:$B,'Corporate Center'!$1:$3</definedName>
    <definedName name="_xlnm.Print_Titles" localSheetId="0">'Credit Suisse'!$B:$B,'Credit Suisse'!$1:$3</definedName>
    <definedName name="_xlnm.Print_Titles" localSheetId="10">'Investment Banking'!$B:$B,'Investment Banking'!$1:$3</definedName>
    <definedName name="_xlnm.Print_Titles" localSheetId="1">'Noncontrolling interests'!$B:$B,'Noncontrolling interests'!$1:$3</definedName>
    <definedName name="_xlnm.Print_Titles" localSheetId="4">'PB &amp; WM'!$B:$B,'PB &amp; WM'!$1:$3</definedName>
    <definedName name="_xlnm.Print_Titles" localSheetId="5">'PB &amp; WM_2'!$B:$B,'PB &amp; WM_2'!$1:$2</definedName>
    <definedName name="_xlnm.Print_Titles" localSheetId="6">'WMC'!$B:$B,'WMC'!$1:$3</definedName>
    <definedName name="_xlnm.Print_Titles" localSheetId="7">'WMC_2'!$B:$B,'WMC_2'!$1:$2</definedName>
  </definedNames>
  <calcPr fullCalcOnLoad="1" fullPrecision="0"/>
</workbook>
</file>

<file path=xl/sharedStrings.xml><?xml version="1.0" encoding="utf-8"?>
<sst xmlns="http://schemas.openxmlformats.org/spreadsheetml/2006/main" count="605" uniqueCount="209">
  <si>
    <t>Net new assets (CHF billion)</t>
  </si>
  <si>
    <t>Equity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</si>
  <si>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</si>
  <si>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</si>
  <si>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</si>
  <si>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</si>
  <si>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</si>
  <si>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</si>
  <si>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</si>
  <si>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</si>
  <si>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</si>
  <si>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</si>
  <si>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</si>
  <si>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</si>
  <si>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</si>
  <si>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</si>
  <si>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</si>
  <si>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</si>
  <si>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</si>
  <si>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</si>
  <si>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</si>
  <si>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</si>
  <si>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</si>
  <si>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</si>
  <si>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</si>
  <si>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</si>
  <si>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</si>
  <si>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</si>
  <si>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</si>
  <si>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</si>
  <si>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</si>
  <si>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</si>
  <si>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</si>
  <si>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</si>
  <si>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</si>
  <si>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</si>
  <si>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</si>
  <si>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</si>
  <si>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</si>
  <si>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</si>
  <si>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</si>
  <si>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</si>
  <si>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</si>
  <si>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</si>
  <si>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</si>
  <si>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</si>
  <si>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</si>
  <si>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</si>
  <si>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</si>
  <si>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</si>
  <si>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</si>
  <si>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</si>
  <si>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</si>
  <si>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</si>
  <si>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</si>
  <si>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</si>
  <si>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</si>
  <si>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</si>
  <si>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</si>
  <si>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</si>
  <si>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</si>
  <si>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</si>
  <si>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Growth in assets under management (rolling four-quarter average) (%)</t>
  </si>
  <si>
    <t>Effective tax rate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</si>
  <si>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</si>
  <si>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</si>
  <si>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</si>
  <si>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</si>
  <si>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</si>
  <si>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</si>
  <si>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</si>
  <si>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</si>
  <si>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</si>
  <si>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>Assets under management by region (CHF billion)</t>
  </si>
  <si>
    <t xml:space="preserve">Asia Pacific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</si>
  <si>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</si>
  <si>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</si>
  <si>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</si>
  <si>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</si>
  <si>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</si>
  <si>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</si>
  <si>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</si>
  <si>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</si>
  <si>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</si>
  <si>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</si>
  <si>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</si>
  <si>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</si>
  <si>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</si>
  <si>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</si>
  <si>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</si>
  <si>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</si>
  <si>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</si>
  <si>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</si>
  <si>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</si>
  <si>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</si>
  <si>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</si>
  <si>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</si>
  <si>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</si>
  <si>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</si>
  <si>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</si>
  <si>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</si>
  <si>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</si>
  <si>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</si>
  <si>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</si>
  <si>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</si>
  <si>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</si>
  <si>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Based on amounts attributable to shareholders.</t>
  </si>
  <si>
    <t>Other effects</t>
  </si>
  <si>
    <t xml:space="preserve">of which market movements </t>
  </si>
  <si>
    <t>of which currency</t>
  </si>
  <si>
    <t>Deposits</t>
  </si>
  <si>
    <t>of which discretionary assets</t>
  </si>
  <si>
    <t>Corporate &amp;
Institutional 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</si>
  <si>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</si>
  <si>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</si>
  <si>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</si>
  <si>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</si>
  <si>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</si>
  <si>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</si>
  <si>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</si>
  <si>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</si>
  <si>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</si>
  <si>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</si>
  <si>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New provisions</t>
  </si>
  <si>
    <t>Releases of provisions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</si>
  <si>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</si>
  <si>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</si>
  <si>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</si>
  <si>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</si>
  <si>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</si>
  <si>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</si>
  <si>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</si>
  <si>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</si>
  <si>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</si>
  <si>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</si>
  <si>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</si>
  <si>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</si>
  <si>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</si>
  <si>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</si>
  <si>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</si>
  <si>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</si>
  <si>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</si>
  <si>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</si>
  <si>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</si>
  <si>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</si>
  <si>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</si>
  <si>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</si>
  <si>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</si>
  <si>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</si>
  <si>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</si>
  <si>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</si>
  <si>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</si>
  <si>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</si>
  <si>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</si>
  <si>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</si>
  <si>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</si>
  <si>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</si>
  <si>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</si>
  <si>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</si>
  <si>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Fee-based margin on assets under management (annualized) (bp)</t>
  </si>
  <si>
    <t>Fee-based margin</t>
  </si>
  <si>
    <t>Assets under management - Asset Management</t>
  </si>
  <si>
    <t>of which other</t>
  </si>
  <si>
    <t>Assets under management by currency (CHF billion)</t>
  </si>
  <si>
    <t xml:space="preserve">of which currency </t>
  </si>
  <si>
    <t>2Q11</t>
  </si>
  <si>
    <t>na</t>
  </si>
  <si>
    <t>Average one-day, 98% risk management Value-at-Risk</t>
  </si>
  <si>
    <t>Average one-day, 98% risk management Value-at-Risk (CHF million)</t>
  </si>
  <si>
    <t>3Q11</t>
  </si>
  <si>
    <t>4Q11</t>
  </si>
  <si>
    <t>Under Basel II.5 as of December 31, 2011. Prior period ratios were reported under Basel II and therefore not comparable.</t>
  </si>
  <si>
    <t>1Q12</t>
  </si>
  <si>
    <t xml:space="preserve"> </t>
  </si>
  <si>
    <t>Equity participations and other gains/(losses)</t>
  </si>
  <si>
    <t>2Q12</t>
  </si>
  <si>
    <t>3Q12</t>
  </si>
  <si>
    <t>4Q12</t>
  </si>
  <si>
    <t>Private Banking &amp; 
Wealth Management Clients</t>
  </si>
  <si>
    <t>of which Asset Management</t>
  </si>
  <si>
    <t xml:space="preserve">Net new assets by business (CHF billion) </t>
  </si>
  <si>
    <t xml:space="preserve">Corporate &amp; Institutional Clients </t>
  </si>
  <si>
    <t>Assets under management by business (CHF billion)</t>
  </si>
  <si>
    <t>Transaction- and performance- based revenues</t>
  </si>
  <si>
    <t>Net new assets by region (CHF billion)</t>
  </si>
  <si>
    <t xml:space="preserve">Net new assets  </t>
  </si>
  <si>
    <t>of which market movements</t>
  </si>
  <si>
    <t>Transaction- and performance-based revenues</t>
  </si>
  <si>
    <t>Net revenue detail  (CHF million)</t>
  </si>
  <si>
    <t>Hedge funds</t>
  </si>
  <si>
    <t>Private equity</t>
  </si>
  <si>
    <t>Real estate &amp; commodities</t>
  </si>
  <si>
    <t>Credit</t>
  </si>
  <si>
    <t>ETF</t>
  </si>
  <si>
    <t>Index strategies</t>
  </si>
  <si>
    <t>Multi-asset class solutions</t>
  </si>
  <si>
    <t>Fixed income &amp; equities</t>
  </si>
  <si>
    <t>Private Banking &amp; Wealth Management</t>
  </si>
  <si>
    <t>Assets under management - Private Banking &amp; Wealth Management</t>
  </si>
  <si>
    <t>Growth in assets under management (annualized)</t>
  </si>
  <si>
    <t>Assets under management - Wealth Management Clients</t>
  </si>
  <si>
    <t>Growth in assets under management (rolling four-quarter average)</t>
  </si>
  <si>
    <t>Principal investments (CHF billion)</t>
  </si>
  <si>
    <t>Principal investments</t>
  </si>
  <si>
    <t>Corporate &amp; Institutional Clients</t>
  </si>
  <si>
    <r>
      <t xml:space="preserve">Assets managed across businesses </t>
    </r>
    <r>
      <rPr>
        <vertAlign val="superscript"/>
        <sz val="10"/>
        <rFont val="Arial"/>
        <family val="2"/>
      </rPr>
      <t>1)</t>
    </r>
  </si>
  <si>
    <t>Assets managed by Asset Management for Wealth Management Clients and Corporate &amp; Institutional Clients.</t>
  </si>
  <si>
    <t xml:space="preserve">Certain reclassifications have been made to prior periods to conform to the current presentation. </t>
  </si>
  <si>
    <t>Interest rate &amp; credit spread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</si>
</sst>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#,##0_);\(#,##0\);@_)"/>
    <numFmt numFmtId="177" formatCode="#,##0.0_);\(#,##0.0\);@_)"/>
    <numFmt numFmtId="178" formatCode="#,##0.00_);\(#,##0.00\);@_)"/>
    <numFmt numFmtId="179" formatCode="0.0"/>
    <numFmt numFmtId="180" formatCode=";;;"/>
    <numFmt numFmtId="181" formatCode="_(* #,##0&quot;bp&quot;_);_(* \(#,##0&quot;bp&quot;\);_(* &quot;-bp&quot;_);_(@_)"/>
    <numFmt numFmtId="182" formatCode="#,##0.000_ ;[Red]\-#,##0.000\ "/>
    <numFmt numFmtId="183" formatCode="#,##0;\-#,##0;&quot;-&quot;"/>
    <numFmt numFmtId="184" formatCode="0.000_)"/>
    <numFmt numFmtId="185" formatCode="_(* #,##0.0_);_(* \(#,##0.0\);_(* &quot;-&quot;??_);_(@_)"/>
    <numFmt numFmtId="186" formatCode="&quot;$&quot;#,##0.0;\(&quot;$&quot;#,##0.0\);&quot;$&quot;#,##0.0"/>
    <numFmt numFmtId="187" formatCode="_(&quot;$&quot;* #,##0.0_);_(&quot;$&quot;* \(#,##0.0\);_(&quot;$&quot;* &quot;-&quot;_);_(@_)"/>
    <numFmt numFmtId="188" formatCode="&quot;$&quot;#,##0.00"/>
    <numFmt numFmtId="189" formatCode="_([$€-2]* #,##0.00_);_([$€-2]* \(#,##0.00\);_([$€-2]* &quot;-&quot;??_)"/>
    <numFmt numFmtId="190" formatCode="#,##0;\(#,##0\)"/>
    <numFmt numFmtId="191" formatCode="dd\-mmm\-yy_)"/>
    <numFmt numFmtId="192" formatCode="#,##0.0\x_);\(#,##0.0\x\);#,##0.0\x_);@_)"/>
    <numFmt numFmtId="193" formatCode="_(* #,##0\ \x_);_(* \(#,##0\ \x\);_(* &quot;-&quot;??_);_(@_)"/>
    <numFmt numFmtId="194" formatCode="_(* #,##0.0\ \x_);_(* \(#,##0.0\ \x\);_(* &quot;-&quot;??_);_(@_)"/>
    <numFmt numFmtId="195" formatCode="General_)"/>
    <numFmt numFmtId="196" formatCode="0.00000000000%"/>
    <numFmt numFmtId="197" formatCode="#,##0,_);\(#,##0,_)\)"/>
    <numFmt numFmtId="198" formatCode="0.0000000%"/>
    <numFmt numFmtId="199" formatCode="0.0%"/>
    <numFmt numFmtId="200" formatCode="#,##0.0\%_);\(#,##0.0\%\);#,##0.0\%_);@_)"/>
    <numFmt numFmtId="201" formatCode="#,##0.0,,;\(#,##0.0,,\)"/>
    <numFmt numFmtId="202" formatCode="mm/dd/yy"/>
    <numFmt numFmtId="203" formatCode="#,##0.0_);\(#,##0.0\);\–"/>
    <numFmt numFmtId="204" formatCode="#,##0.0;\(#,##0.0\)"/>
    <numFmt numFmtId="205" formatCode="#,##0.0;\(#,##0.0\);\–"/>
    <numFmt numFmtId="206" formatCode="#,##0;\(#,##0\);\–"/>
    <numFmt numFmtId="207" formatCode="#,##0.00_);\(#,##0.00\);\–"/>
    <numFmt numFmtId="208" formatCode="#,##0.0;\(#,##0.0\);0.0"/>
    <numFmt numFmtId="209" formatCode="#,##0.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,,,;\(#,##0.0,,,\)"/>
    <numFmt numFmtId="215" formatCode="0.000000"/>
    <numFmt numFmtId="216" formatCode="0.00000"/>
    <numFmt numFmtId="217" formatCode="0.0000"/>
    <numFmt numFmtId="218" formatCode="0.000"/>
  </numFmts>
  <fonts count="9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8"/>
      <color indexed="8"/>
      <name val="Times New Roman"/>
      <family val="1"/>
    </font>
    <font>
      <sz val="1"/>
      <color indexed="8"/>
      <name val="Courier"/>
      <family val="3"/>
    </font>
    <font>
      <sz val="8"/>
      <color indexed="14"/>
      <name val="Times New Roman"/>
      <family val="1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1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2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sz val="10"/>
      <color rgb="FF003366"/>
      <name val="Arial"/>
      <family val="2"/>
    </font>
    <font>
      <sz val="10"/>
      <color theme="3" tint="-0.2499700039625167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55"/>
      </bottom>
    </border>
    <border>
      <left/>
      <right/>
      <top/>
      <bottom style="thin">
        <color indexed="55"/>
      </bottom>
    </border>
    <border>
      <left/>
      <right/>
      <top/>
      <bottom style="dotted">
        <color indexed="55"/>
      </bottom>
    </border>
    <border>
      <left/>
      <right/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/>
      <right/>
      <top/>
      <bottom style="thick">
        <color indexed="23"/>
      </bottom>
    </border>
    <border>
      <left/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n">
        <color indexed="55"/>
      </top>
      <bottom/>
    </border>
    <border>
      <left/>
      <right/>
      <top style="dotted">
        <color indexed="55"/>
      </top>
      <bottom style="dotted">
        <color indexed="55"/>
      </bottom>
    </border>
    <border>
      <left/>
      <right/>
      <top style="thin">
        <color indexed="55"/>
      </top>
      <bottom style="medium">
        <color indexed="55"/>
      </bottom>
    </border>
    <border>
      <left/>
      <right/>
      <top style="medium">
        <color indexed="55"/>
      </top>
      <bottom style="medium">
        <color indexed="55"/>
      </bottom>
    </border>
    <border>
      <left/>
      <right/>
      <top style="thin">
        <color indexed="55"/>
      </top>
      <bottom style="dotted">
        <color indexed="55"/>
      </bottom>
    </border>
    <border>
      <left/>
      <right/>
      <top style="dotted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>
        <color indexed="55"/>
      </top>
      <bottom style="thin">
        <color indexed="55"/>
      </bottom>
    </border>
    <border>
      <left/>
      <right/>
      <top style="medium">
        <color indexed="55"/>
      </top>
      <bottom/>
    </border>
    <border>
      <left/>
      <right/>
      <top style="thin">
        <color indexed="55"/>
      </top>
      <bottom style="dashed">
        <color indexed="55"/>
      </bottom>
    </border>
    <border>
      <left/>
      <right/>
      <top style="dashed">
        <color indexed="55"/>
      </top>
      <bottom style="dashed">
        <color indexed="55"/>
      </bottom>
    </border>
    <border>
      <left/>
      <right/>
      <top style="dashed">
        <color indexed="55"/>
      </top>
      <bottom style="thin">
        <color indexed="55"/>
      </bottom>
    </border>
    <border>
      <left/>
      <right/>
      <top/>
      <bottom style="dashed">
        <color indexed="55"/>
      </bottom>
    </border>
    <border>
      <left/>
      <right/>
      <top style="medium">
        <color indexed="55"/>
      </top>
      <bottom style="dashed">
        <color indexed="55"/>
      </bottom>
    </border>
    <border>
      <left/>
      <right/>
      <top style="dashed">
        <color indexed="55"/>
      </top>
      <bottom style="medium">
        <color indexed="55"/>
      </bottom>
    </border>
    <border>
      <left/>
      <right/>
      <top style="dashed">
        <color indexed="55"/>
      </top>
      <bottom/>
    </border>
    <border>
      <left/>
      <right/>
      <top style="medium">
        <color indexed="55"/>
      </top>
      <bottom style="dotted">
        <color indexed="55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</borders>
  <cellStyleXfs count="3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180" fontId="11" fillId="0" borderId="0" applyFont="0" applyFill="0" applyBorder="0" applyAlignment="0"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1" fontId="0" fillId="0" borderId="0" applyFont="0" applyFill="0" applyBorder="0" applyAlignment="0" applyProtection="0"/>
    <xf numFmtId="0" fontId="14" fillId="0" borderId="0" applyNumberFormat="0" applyFont="0" applyAlignment="0">
      <protection/>
    </xf>
    <xf numFmtId="0" fontId="15" fillId="0" borderId="0" applyNumberFormat="0" applyAlignment="0">
      <protection/>
    </xf>
    <xf numFmtId="0" fontId="15" fillId="0" borderId="0" applyNumberFormat="0" applyFont="0" applyBorder="0" applyAlignment="0">
      <protection/>
    </xf>
    <xf numFmtId="0" fontId="15" fillId="0" borderId="1" applyNumberFormat="0" applyFont="0" applyAlignment="0">
      <protection/>
    </xf>
    <xf numFmtId="0" fontId="16" fillId="0" borderId="2" applyNumberFormat="0" applyAlignment="0">
      <protection/>
    </xf>
    <xf numFmtId="0" fontId="17" fillId="0" borderId="3" applyNumberFormat="0" applyFont="0" applyAlignment="0">
      <protection/>
    </xf>
    <xf numFmtId="0" fontId="14" fillId="0" borderId="2" applyNumberFormat="0" applyFont="0" applyAlignment="0">
      <protection/>
    </xf>
    <xf numFmtId="0" fontId="18" fillId="0" borderId="1" applyNumberFormat="0" applyFont="0" applyAlignment="0">
      <protection/>
    </xf>
    <xf numFmtId="0" fontId="14" fillId="0" borderId="4" applyNumberFormat="0" applyFont="0" applyAlignment="0"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7" fontId="20" fillId="10" borderId="5">
      <alignment/>
      <protection locked="0"/>
    </xf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41" fontId="0" fillId="0" borderId="0" applyFont="0" applyFill="0" applyBorder="0" applyAlignment="0" applyProtection="0"/>
    <xf numFmtId="0" fontId="21" fillId="0" borderId="6" applyProtection="0">
      <alignment horizontal="left" wrapText="1"/>
    </xf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2" borderId="0" applyNumberFormat="0" applyBorder="0" applyAlignment="0" applyProtection="0"/>
    <xf numFmtId="0" fontId="22" fillId="0" borderId="0">
      <alignment horizontal="center" wrapText="1"/>
      <protection locked="0"/>
    </xf>
    <xf numFmtId="0" fontId="23" fillId="0" borderId="7">
      <alignment/>
      <protection hidden="1"/>
    </xf>
    <xf numFmtId="0" fontId="24" fillId="8" borderId="7" applyNumberFormat="0" applyFont="0" applyBorder="0" applyAlignment="0" applyProtection="0"/>
    <xf numFmtId="0" fontId="24" fillId="8" borderId="7" applyNumberFormat="0" applyFont="0" applyBorder="0" applyAlignment="0" applyProtection="0"/>
    <xf numFmtId="0" fontId="64" fillId="16" borderId="8" applyNumberFormat="0" applyAlignment="0" applyProtection="0"/>
    <xf numFmtId="0" fontId="25" fillId="17" borderId="0" applyNumberFormat="0" applyBorder="0" applyAlignment="0" applyProtection="0"/>
    <xf numFmtId="181" fontId="0" fillId="0" borderId="0">
      <alignment horizontal="right"/>
      <protection/>
    </xf>
    <xf numFmtId="0" fontId="27" fillId="16" borderId="9" applyNumberFormat="0" applyAlignment="0" applyProtection="0"/>
    <xf numFmtId="0" fontId="26" fillId="0" borderId="0" applyNumberFormat="0" applyFill="0" applyBorder="0" applyAlignment="0" applyProtection="0"/>
    <xf numFmtId="0" fontId="22" fillId="0" borderId="10" applyNumberFormat="0" applyFont="0" applyFill="0" applyAlignment="0" applyProtection="0"/>
    <xf numFmtId="0" fontId="22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182" fontId="0" fillId="16" borderId="5">
      <alignment horizontal="right"/>
      <protection locked="0"/>
    </xf>
    <xf numFmtId="182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9" fontId="0" fillId="16" borderId="12">
      <alignment horizontal="left" wrapText="1"/>
      <protection locked="0"/>
    </xf>
    <xf numFmtId="4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3" fontId="21" fillId="0" borderId="0" applyFill="0" applyBorder="0" applyAlignment="0">
      <protection/>
    </xf>
    <xf numFmtId="183" fontId="21" fillId="0" borderId="0" applyFill="0" applyBorder="0" applyAlignment="0">
      <protection/>
    </xf>
    <xf numFmtId="0" fontId="27" fillId="16" borderId="9" applyNumberFormat="0" applyAlignment="0" applyProtection="0"/>
    <xf numFmtId="0" fontId="28" fillId="18" borderId="13" applyNumberFormat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171" fontId="0" fillId="0" borderId="0" applyFont="0" applyFill="0" applyBorder="0" applyAlignment="0" applyProtection="0"/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84" fontId="30" fillId="0" borderId="0">
      <alignment/>
      <protection/>
    </xf>
    <xf numFmtId="169" fontId="0" fillId="0" borderId="0" applyFont="0" applyFill="0" applyBorder="0" applyAlignment="0" applyProtection="0"/>
    <xf numFmtId="185" fontId="31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4" fillId="0" borderId="0" applyNumberFormat="0" applyAlignment="0">
      <protection/>
    </xf>
    <xf numFmtId="170" fontId="0" fillId="0" borderId="0" applyFont="0" applyFill="0" applyBorder="0" applyAlignment="0" applyProtection="0"/>
    <xf numFmtId="186" fontId="22" fillId="0" borderId="0" applyFont="0" applyFill="0" applyBorder="0" applyAlignment="0" applyProtection="0"/>
    <xf numFmtId="168" fontId="0" fillId="0" borderId="0" applyFont="0" applyFill="0" applyBorder="0" applyAlignment="0" applyProtection="0"/>
    <xf numFmtId="187" fontId="35" fillId="0" borderId="0" applyFont="0" applyFill="0" applyBorder="0" applyAlignment="0" applyProtection="0"/>
    <xf numFmtId="14" fontId="2" fillId="0" borderId="0">
      <alignment horizontal="right" vertical="top"/>
      <protection/>
    </xf>
    <xf numFmtId="14" fontId="2" fillId="0" borderId="0">
      <alignment horizontal="right" vertical="top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40" fontId="2" fillId="0" borderId="0">
      <alignment/>
      <protection/>
    </xf>
    <xf numFmtId="40" fontId="2" fillId="0" borderId="0">
      <alignment/>
      <protection/>
    </xf>
    <xf numFmtId="0" fontId="36" fillId="0" borderId="0">
      <alignment/>
      <protection locked="0"/>
    </xf>
    <xf numFmtId="188" fontId="37" fillId="0" borderId="0" applyFont="0" applyFill="0" applyBorder="0" applyAlignment="0" applyProtection="0"/>
    <xf numFmtId="0" fontId="49" fillId="3" borderId="9" applyNumberFormat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9" fillId="0" borderId="0" applyNumberFormat="0" applyAlignment="0">
      <protection/>
    </xf>
    <xf numFmtId="0" fontId="77" fillId="0" borderId="14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21" fillId="8" borderId="15" applyProtection="0">
      <alignment horizontal="center" wrapText="1"/>
    </xf>
    <xf numFmtId="0" fontId="40" fillId="0" borderId="0" applyNumberFormat="0" applyFill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37" fontId="41" fillId="0" borderId="0" applyFont="0" applyAlignment="0">
      <protection/>
    </xf>
    <xf numFmtId="0" fontId="36" fillId="0" borderId="0">
      <alignment/>
      <protection locked="0"/>
    </xf>
    <xf numFmtId="0" fontId="44" fillId="0" borderId="0" applyNumberFormat="0" applyFill="0" applyProtection="0">
      <alignment/>
    </xf>
    <xf numFmtId="0" fontId="84" fillId="0" borderId="0" applyNumberFormat="0" applyFill="0" applyBorder="0" applyProtection="0">
      <alignment horizontal="left" vertical="center"/>
    </xf>
    <xf numFmtId="0" fontId="42" fillId="0" borderId="0" applyNumberFormat="0" applyFill="0" applyBorder="0" applyProtection="0">
      <alignment wrapText="1"/>
    </xf>
    <xf numFmtId="38" fontId="0" fillId="0" borderId="0">
      <alignment/>
      <protection/>
    </xf>
    <xf numFmtId="0" fontId="43" fillId="20" borderId="0" applyNumberFormat="0" applyBorder="0" applyAlignment="0" applyProtection="0"/>
    <xf numFmtId="38" fontId="2" fillId="8" borderId="0" applyNumberFormat="0" applyBorder="0" applyAlignment="0" applyProtection="0"/>
    <xf numFmtId="38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85" fillId="7" borderId="0" applyNumberFormat="0" applyProtection="0">
      <alignment/>
    </xf>
    <xf numFmtId="0" fontId="7" fillId="0" borderId="16" applyNumberFormat="0" applyAlignment="0" applyProtection="0"/>
    <xf numFmtId="0" fontId="7" fillId="0" borderId="17">
      <alignment horizontal="left" vertical="center"/>
      <protection/>
    </xf>
    <xf numFmtId="0" fontId="45" fillId="0" borderId="0">
      <alignment horizontal="center"/>
      <protection/>
    </xf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>
      <alignment horizontal="center"/>
      <protection/>
    </xf>
    <xf numFmtId="0" fontId="49" fillId="3" borderId="9" applyNumberFormat="0" applyAlignment="0" applyProtection="0"/>
    <xf numFmtId="10" fontId="2" fillId="4" borderId="5" applyNumberFormat="0" applyBorder="0" applyAlignment="0" applyProtection="0"/>
    <xf numFmtId="10" fontId="2" fillId="4" borderId="5" applyNumberFormat="0" applyBorder="0" applyAlignment="0" applyProtection="0"/>
    <xf numFmtId="39" fontId="2" fillId="16" borderId="0">
      <alignment/>
      <protection/>
    </xf>
    <xf numFmtId="39" fontId="2" fillId="16" borderId="0">
      <alignment/>
      <protection/>
    </xf>
    <xf numFmtId="38" fontId="50" fillId="0" borderId="0">
      <alignment/>
      <protection/>
    </xf>
    <xf numFmtId="38" fontId="51" fillId="0" borderId="0">
      <alignment/>
      <protection/>
    </xf>
    <xf numFmtId="38" fontId="52" fillId="0" borderId="0">
      <alignment/>
      <protection/>
    </xf>
    <xf numFmtId="38" fontId="5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5" fillId="0" borderId="21" applyNumberFormat="0" applyFill="0" applyAlignment="0" applyProtection="0"/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21" borderId="0" applyNumberFormat="0" applyFont="0" applyFill="0" applyBorder="0" applyAlignment="0">
      <protection/>
    </xf>
    <xf numFmtId="0" fontId="56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 locked="0"/>
    </xf>
    <xf numFmtId="192" fontId="57" fillId="0" borderId="0" applyFont="0" applyFill="0" applyBorder="0" applyProtection="0">
      <alignment horizontal="right"/>
    </xf>
    <xf numFmtId="193" fontId="22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9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0" fillId="0" borderId="0">
      <alignment/>
      <protection/>
    </xf>
    <xf numFmtId="196" fontId="61" fillId="0" borderId="0">
      <alignment/>
      <protection/>
    </xf>
    <xf numFmtId="195" fontId="29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197" fontId="62" fillId="16" borderId="0">
      <alignment/>
      <protection/>
    </xf>
    <xf numFmtId="0" fontId="63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4" fillId="16" borderId="8" applyNumberFormat="0" applyAlignment="0" applyProtection="0"/>
    <xf numFmtId="0" fontId="65" fillId="0" borderId="0" applyProtection="0">
      <alignment horizontal="left"/>
    </xf>
    <xf numFmtId="0" fontId="65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14" fontId="22" fillId="0" borderId="0">
      <alignment horizontal="center" wrapText="1"/>
      <protection locked="0"/>
    </xf>
    <xf numFmtId="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9" fontId="58" fillId="0" borderId="0" applyFont="0" applyFill="0" applyBorder="0" applyAlignment="0" applyProtection="0"/>
    <xf numFmtId="199" fontId="58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22" fillId="0" borderId="0" applyFont="0" applyFill="0" applyBorder="0" applyProtection="0">
      <alignment horizontal="right"/>
    </xf>
    <xf numFmtId="0" fontId="2" fillId="0" borderId="0">
      <alignment horizontal="center" vertical="top" wrapText="1"/>
      <protection/>
    </xf>
    <xf numFmtId="0" fontId="2" fillId="0" borderId="0">
      <alignment horizontal="center" vertical="top" wrapText="1"/>
      <protection/>
    </xf>
    <xf numFmtId="0" fontId="36" fillId="0" borderId="0">
      <alignment/>
      <protection locked="0"/>
    </xf>
    <xf numFmtId="0" fontId="67" fillId="0" borderId="0">
      <alignment/>
      <protection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Protection="0">
      <alignment horizontal="right"/>
    </xf>
    <xf numFmtId="4" fontId="13" fillId="0" borderId="0" applyFont="0" applyFill="0" applyBorder="0" applyProtection="0">
      <alignment horizontal="right"/>
    </xf>
    <xf numFmtId="0" fontId="29" fillId="0" borderId="10">
      <alignment horizontal="center"/>
      <protection/>
    </xf>
    <xf numFmtId="0" fontId="13" fillId="0" borderId="0" applyFont="0" applyFill="0" applyBorder="0" applyProtection="0">
      <alignment horizontal="left"/>
    </xf>
    <xf numFmtId="0" fontId="13" fillId="0" borderId="0" applyFont="0" applyFill="0" applyBorder="0" applyProtection="0">
      <alignment horizontal="left"/>
    </xf>
    <xf numFmtId="0" fontId="13" fillId="22" borderId="0" applyNumberFormat="0" applyFont="0" applyBorder="0" applyAlignment="0" applyProtection="0"/>
    <xf numFmtId="0" fontId="13" fillId="22" borderId="0" applyNumberFormat="0" applyFont="0" applyBorder="0" applyAlignment="0" applyProtection="0"/>
    <xf numFmtId="201" fontId="4" fillId="23" borderId="17">
      <alignment horizontal="right"/>
      <protection/>
    </xf>
    <xf numFmtId="0" fontId="7" fillId="0" borderId="0">
      <alignment/>
      <protection/>
    </xf>
    <xf numFmtId="201" fontId="4" fillId="0" borderId="23" applyFill="0">
      <alignment/>
      <protection/>
    </xf>
    <xf numFmtId="0" fontId="68" fillId="0" borderId="7" applyNumberFormat="0" applyFill="0" applyBorder="0" applyAlignment="0" applyProtection="0"/>
    <xf numFmtId="202" fontId="20" fillId="0" borderId="0" applyNumberFormat="0" applyFill="0" applyBorder="0" applyAlignment="0" applyProtection="0"/>
    <xf numFmtId="38" fontId="20" fillId="0" borderId="0">
      <alignment/>
      <protection/>
    </xf>
    <xf numFmtId="0" fontId="69" fillId="0" borderId="24" applyNumberFormat="0" applyFill="0" applyAlignment="0" applyProtection="0"/>
    <xf numFmtId="0" fontId="21" fillId="0" borderId="0" applyNumberFormat="0" applyFill="0" applyBorder="0" applyProtection="0">
      <alignment horizontal="right" vertical="center"/>
    </xf>
    <xf numFmtId="0" fontId="21" fillId="0" borderId="0" applyNumberFormat="0" applyFill="0" applyBorder="0" applyProtection="0">
      <alignment horizontal="right" vertical="center"/>
    </xf>
    <xf numFmtId="0" fontId="25" fillId="17" borderId="0" applyNumberFormat="0" applyBorder="0" applyAlignment="0" applyProtection="0"/>
    <xf numFmtId="0" fontId="11" fillId="24" borderId="0" applyNumberFormat="0" applyFont="0" applyBorder="0" applyAlignment="0" applyProtection="0"/>
    <xf numFmtId="0" fontId="2" fillId="0" borderId="0">
      <alignment horizontal="right" vertical="top" wrapText="1"/>
      <protection/>
    </xf>
    <xf numFmtId="0" fontId="2" fillId="0" borderId="0">
      <alignment horizontal="right"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2" fillId="0" borderId="0">
      <alignment vertical="top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37" fontId="22" fillId="25" borderId="5" applyFont="0" applyAlignment="0">
      <protection/>
    </xf>
    <xf numFmtId="37" fontId="22" fillId="25" borderId="5" applyFont="0" applyAlignment="0">
      <protection/>
    </xf>
    <xf numFmtId="0" fontId="70" fillId="3" borderId="0" applyFill="0" applyBorder="0" applyAlignment="0" applyProtection="0"/>
    <xf numFmtId="0" fontId="71" fillId="0" borderId="0">
      <alignment/>
      <protection/>
    </xf>
    <xf numFmtId="0" fontId="72" fillId="0" borderId="0" applyFill="0" applyBorder="0" applyProtection="0">
      <alignment horizontal="center" vertical="center"/>
    </xf>
    <xf numFmtId="0" fontId="72" fillId="0" borderId="0" applyFill="0" applyBorder="0" applyProtection="0">
      <alignment/>
    </xf>
    <xf numFmtId="0" fontId="4" fillId="0" borderId="0" applyFill="0" applyBorder="0" applyProtection="0">
      <alignment horizontal="left"/>
    </xf>
    <xf numFmtId="0" fontId="4" fillId="0" borderId="0" applyFill="0" applyBorder="0" applyProtection="0">
      <alignment horizontal="left"/>
    </xf>
    <xf numFmtId="0" fontId="73" fillId="0" borderId="0" applyFill="0" applyBorder="0" applyProtection="0">
      <alignment horizontal="left" vertical="top"/>
    </xf>
    <xf numFmtId="0" fontId="74" fillId="0" borderId="0" applyNumberFormat="0" applyFill="0" applyBorder="0" applyProtection="0">
      <alignment/>
    </xf>
    <xf numFmtId="37" fontId="2" fillId="0" borderId="0">
      <alignment horizontal="right" vertical="top" wrapText="1"/>
      <protection/>
    </xf>
    <xf numFmtId="37" fontId="2" fillId="0" borderId="0">
      <alignment horizontal="right" vertical="top" wrapText="1"/>
      <protection/>
    </xf>
    <xf numFmtId="0" fontId="63" fillId="0" borderId="0" applyFont="0" applyFill="0" applyProtection="0">
      <alignment wrapText="1"/>
    </xf>
    <xf numFmtId="0" fontId="75" fillId="0" borderId="0" applyFill="0" applyBorder="0" applyProtection="0">
      <alignment horizontal="left" vertical="top"/>
    </xf>
    <xf numFmtId="0" fontId="76" fillId="0" borderId="0" applyNumberFormat="0" applyFill="0" applyBorder="0" applyAlignment="0" applyProtection="0"/>
    <xf numFmtId="0" fontId="20" fillId="8" borderId="7">
      <alignment/>
      <protection/>
    </xf>
    <xf numFmtId="0" fontId="7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5" fillId="0" borderId="21" applyNumberFormat="0" applyFill="0" applyAlignment="0" applyProtection="0"/>
    <xf numFmtId="0" fontId="8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5" fontId="22" fillId="0" borderId="0" applyFont="0" applyFill="0" applyBorder="0" applyProtection="0">
      <alignment horizontal="right"/>
    </xf>
    <xf numFmtId="0" fontId="28" fillId="18" borderId="13" applyNumberFormat="0" applyAlignment="0" applyProtection="0"/>
    <xf numFmtId="0" fontId="79" fillId="0" borderId="0">
      <alignment/>
      <protection/>
    </xf>
  </cellStyleXfs>
  <cellXfs count="410">
    <xf numFmtId="0" fontId="0" fillId="0" borderId="0" xfId="0" applyAlignment="1">
      <alignment/>
    </xf>
    <xf numFmtId="0" fontId="0" fillId="8" borderId="0" xfId="0" applyFill="1" applyAlignment="1">
      <alignment/>
    </xf>
    <xf numFmtId="0" fontId="5" fillId="26" borderId="25" xfId="0" applyFont="1" applyFill="1" applyBorder="1" applyAlignment="1">
      <alignment horizontal="left" vertical="center"/>
    </xf>
    <xf numFmtId="0" fontId="6" fillId="26" borderId="26" xfId="0" applyNumberFormat="1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left" vertical="center"/>
    </xf>
    <xf numFmtId="0" fontId="6" fillId="2" borderId="27" xfId="0" applyNumberFormat="1" applyFont="1" applyFill="1" applyBorder="1" applyAlignment="1">
      <alignment horizontal="center" vertical="center" wrapText="1"/>
    </xf>
    <xf numFmtId="0" fontId="6" fillId="27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7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left" vertical="center"/>
    </xf>
    <xf numFmtId="0" fontId="4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 vertical="center"/>
    </xf>
    <xf numFmtId="0" fontId="0" fillId="28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8" borderId="0" xfId="0" applyFont="1" applyFill="1" applyAlignment="1">
      <alignment/>
    </xf>
    <xf numFmtId="0" fontId="4" fillId="0" borderId="31" xfId="0" applyNumberFormat="1" applyFont="1" applyFill="1" applyBorder="1" applyAlignment="1">
      <alignment horizontal="left" vertical="center" wrapText="1"/>
    </xf>
    <xf numFmtId="176" fontId="9" fillId="0" borderId="31" xfId="0" applyNumberFormat="1" applyFont="1" applyFill="1" applyBorder="1" applyAlignment="1">
      <alignment horizontal="right" vertical="center"/>
    </xf>
    <xf numFmtId="176" fontId="9" fillId="0" borderId="3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 quotePrefix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 quotePrefix="1">
      <alignment horizontal="right" vertical="center"/>
    </xf>
    <xf numFmtId="176" fontId="10" fillId="0" borderId="35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 quotePrefix="1">
      <alignment horizontal="right" vertical="center"/>
    </xf>
    <xf numFmtId="176" fontId="10" fillId="0" borderId="2" xfId="0" applyNumberFormat="1" applyFont="1" applyFill="1" applyBorder="1" applyAlignment="1">
      <alignment horizontal="right" vertical="center"/>
    </xf>
    <xf numFmtId="177" fontId="10" fillId="0" borderId="3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10" fillId="0" borderId="31" xfId="0" applyNumberFormat="1" applyFont="1" applyFill="1" applyBorder="1" applyAlignment="1">
      <alignment horizontal="right" vertical="center"/>
    </xf>
    <xf numFmtId="176" fontId="10" fillId="0" borderId="31" xfId="0" applyNumberFormat="1" applyFont="1" applyFill="1" applyBorder="1" applyAlignment="1">
      <alignment horizontal="right" vertical="center"/>
    </xf>
    <xf numFmtId="178" fontId="10" fillId="0" borderId="33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80" fillId="0" borderId="35" xfId="0" applyNumberFormat="1" applyFont="1" applyFill="1" applyBorder="1" applyAlignment="1">
      <alignment horizontal="right" vertical="center"/>
    </xf>
    <xf numFmtId="176" fontId="10" fillId="0" borderId="36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21" fillId="0" borderId="3" xfId="0" applyNumberFormat="1" applyFont="1" applyFill="1" applyBorder="1" applyAlignment="1">
      <alignment horizontal="right" vertical="center"/>
    </xf>
    <xf numFmtId="177" fontId="21" fillId="0" borderId="34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vertical="center"/>
    </xf>
    <xf numFmtId="177" fontId="81" fillId="0" borderId="0" xfId="0" applyNumberFormat="1" applyFont="1" applyFill="1" applyBorder="1" applyAlignment="1">
      <alignment horizontal="right" vertical="center"/>
    </xf>
    <xf numFmtId="0" fontId="81" fillId="0" borderId="31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vertical="center"/>
    </xf>
    <xf numFmtId="177" fontId="81" fillId="0" borderId="2" xfId="0" applyNumberFormat="1" applyFont="1" applyFill="1" applyBorder="1" applyAlignment="1">
      <alignment horizontal="right" vertical="center"/>
    </xf>
    <xf numFmtId="0" fontId="81" fillId="0" borderId="1" xfId="0" applyNumberFormat="1" applyFont="1" applyFill="1" applyBorder="1" applyAlignment="1">
      <alignment vertical="center"/>
    </xf>
    <xf numFmtId="177" fontId="21" fillId="0" borderId="3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>
      <alignment horizontal="right" vertical="center"/>
    </xf>
    <xf numFmtId="176" fontId="83" fillId="0" borderId="31" xfId="0" applyNumberFormat="1" applyFont="1" applyFill="1" applyBorder="1" applyAlignment="1">
      <alignment horizontal="right" vertical="center"/>
    </xf>
    <xf numFmtId="176" fontId="83" fillId="0" borderId="32" xfId="0" applyNumberFormat="1" applyFont="1" applyFill="1" applyBorder="1" applyAlignment="1">
      <alignment horizontal="right" vertical="center"/>
    </xf>
    <xf numFmtId="176" fontId="82" fillId="0" borderId="33" xfId="0" applyNumberFormat="1" applyFont="1" applyFill="1" applyBorder="1" applyAlignment="1">
      <alignment horizontal="right" vertical="center"/>
    </xf>
    <xf numFmtId="176" fontId="82" fillId="0" borderId="34" xfId="0" applyNumberFormat="1" applyFont="1" applyFill="1" applyBorder="1" applyAlignment="1">
      <alignment horizontal="right" vertical="center"/>
    </xf>
    <xf numFmtId="176" fontId="83" fillId="0" borderId="0" xfId="0" applyNumberFormat="1" applyFont="1" applyFill="1" applyBorder="1" applyAlignment="1">
      <alignment horizontal="right" vertical="center"/>
    </xf>
    <xf numFmtId="176" fontId="82" fillId="0" borderId="30" xfId="0" applyNumberFormat="1" applyFont="1" applyFill="1" applyBorder="1" applyAlignment="1" quotePrefix="1">
      <alignment horizontal="right" vertical="center"/>
    </xf>
    <xf numFmtId="203" fontId="9" fillId="0" borderId="31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horizontal="right" vertical="center"/>
    </xf>
    <xf numFmtId="203" fontId="4" fillId="0" borderId="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horizontal="left" vertical="center"/>
    </xf>
    <xf numFmtId="176" fontId="10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10" fillId="0" borderId="39" xfId="0" applyNumberFormat="1" applyFont="1" applyFill="1" applyBorder="1" applyAlignment="1">
      <alignment horizontal="right" vertical="center"/>
    </xf>
    <xf numFmtId="203" fontId="0" fillId="0" borderId="35" xfId="0" applyNumberFormat="1" applyFont="1" applyFill="1" applyBorder="1" applyAlignment="1">
      <alignment horizontal="right" vertical="center"/>
    </xf>
    <xf numFmtId="203" fontId="0" fillId="0" borderId="31" xfId="0" applyNumberFormat="1" applyFont="1" applyFill="1" applyBorder="1" applyAlignment="1">
      <alignment horizontal="right" vertical="center"/>
    </xf>
    <xf numFmtId="176" fontId="21" fillId="0" borderId="29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81" fillId="0" borderId="31" xfId="0" applyNumberFormat="1" applyFont="1" applyFill="1" applyBorder="1" applyAlignment="1">
      <alignment horizontal="right" vertical="center"/>
    </xf>
    <xf numFmtId="176" fontId="81" fillId="0" borderId="32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 quotePrefix="1">
      <alignment horizontal="righ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34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>
      <alignment horizontal="right" vertical="center"/>
    </xf>
    <xf numFmtId="176" fontId="21" fillId="0" borderId="31" xfId="0" applyNumberFormat="1" applyFont="1" applyFill="1" applyBorder="1" applyAlignment="1">
      <alignment horizontal="right" vertical="center"/>
    </xf>
    <xf numFmtId="177" fontId="21" fillId="0" borderId="31" xfId="0" applyNumberFormat="1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 quotePrefix="1">
      <alignment horizontal="right" vertical="center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35" xfId="0" applyNumberFormat="1" applyFont="1" applyFill="1" applyBorder="1" applyAlignment="1" quotePrefix="1">
      <alignment horizontal="right" vertical="center"/>
    </xf>
    <xf numFmtId="176" fontId="21" fillId="0" borderId="36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176" fontId="21" fillId="0" borderId="38" xfId="0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4" fillId="0" borderId="32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78" fontId="21" fillId="0" borderId="29" xfId="0" applyNumberFormat="1" applyFont="1" applyFill="1" applyBorder="1" applyAlignment="1">
      <alignment horizontal="right" vertical="center"/>
    </xf>
    <xf numFmtId="178" fontId="21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right" vertical="center"/>
    </xf>
    <xf numFmtId="176" fontId="82" fillId="0" borderId="31" xfId="0" applyNumberFormat="1" applyFont="1" applyFill="1" applyBorder="1" applyAlignment="1">
      <alignment horizontal="right" vertical="center"/>
    </xf>
    <xf numFmtId="177" fontId="82" fillId="0" borderId="33" xfId="0" applyNumberFormat="1" applyFont="1" applyFill="1" applyBorder="1" applyAlignment="1">
      <alignment horizontal="right" vertical="center"/>
    </xf>
    <xf numFmtId="177" fontId="82" fillId="0" borderId="31" xfId="0" applyNumberFormat="1" applyFont="1" applyFill="1" applyBorder="1" applyAlignment="1">
      <alignment horizontal="right" vertical="center"/>
    </xf>
    <xf numFmtId="176" fontId="9" fillId="16" borderId="0" xfId="0" applyNumberFormat="1" applyFont="1" applyFill="1" applyBorder="1" applyAlignment="1">
      <alignment horizontal="right" vertical="center"/>
    </xf>
    <xf numFmtId="0" fontId="4" fillId="16" borderId="0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right" vertical="center"/>
    </xf>
    <xf numFmtId="0" fontId="88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76" fontId="10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76" fontId="10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77" fontId="9" fillId="0" borderId="0" xfId="0" applyNumberFormat="1" applyFont="1" applyFill="1" applyBorder="1" applyAlignment="1">
      <alignment horizontal="right" vertical="center"/>
    </xf>
    <xf numFmtId="176" fontId="0" fillId="8" borderId="0" xfId="0" applyNumberFormat="1" applyFill="1" applyAlignment="1">
      <alignment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06" fontId="9" fillId="0" borderId="3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82" fillId="0" borderId="2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82" fillId="0" borderId="33" xfId="0" applyNumberFormat="1" applyFont="1" applyFill="1" applyBorder="1" applyAlignment="1">
      <alignment horizontal="right" vertical="center"/>
    </xf>
    <xf numFmtId="206" fontId="10" fillId="0" borderId="33" xfId="0" applyNumberFormat="1" applyFont="1" applyFill="1" applyBorder="1" applyAlignment="1">
      <alignment horizontal="right" vertical="center"/>
    </xf>
    <xf numFmtId="206" fontId="10" fillId="0" borderId="2" xfId="0" applyNumberFormat="1" applyFont="1" applyFill="1" applyBorder="1" applyAlignment="1">
      <alignment horizontal="right" vertical="center"/>
    </xf>
    <xf numFmtId="206" fontId="9" fillId="0" borderId="1" xfId="0" applyNumberFormat="1" applyFont="1" applyFill="1" applyBorder="1" applyAlignment="1">
      <alignment horizontal="right" vertical="center"/>
    </xf>
    <xf numFmtId="206" fontId="9" fillId="0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6" fontId="82" fillId="0" borderId="35" xfId="0" applyNumberFormat="1" applyFont="1" applyFill="1" applyBorder="1" applyAlignment="1">
      <alignment horizontal="right" vertical="center"/>
    </xf>
    <xf numFmtId="206" fontId="10" fillId="0" borderId="38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82" fillId="0" borderId="31" xfId="0" applyNumberFormat="1" applyFont="1" applyFill="1" applyBorder="1" applyAlignment="1">
      <alignment horizontal="right" vertical="center"/>
    </xf>
    <xf numFmtId="206" fontId="10" fillId="0" borderId="0" xfId="0" applyNumberFormat="1" applyFont="1" applyFill="1" applyBorder="1" applyAlignment="1">
      <alignment horizontal="right" vertical="center"/>
    </xf>
    <xf numFmtId="206" fontId="21" fillId="0" borderId="29" xfId="0" applyNumberFormat="1" applyFont="1" applyFill="1" applyBorder="1" applyAlignment="1">
      <alignment horizontal="right" vertical="center"/>
    </xf>
    <xf numFmtId="206" fontId="10" fillId="0" borderId="29" xfId="0" applyNumberFormat="1" applyFont="1" applyFill="1" applyBorder="1" applyAlignment="1">
      <alignment horizontal="right" vertical="center"/>
    </xf>
    <xf numFmtId="206" fontId="21" fillId="0" borderId="30" xfId="0" applyNumberFormat="1" applyFont="1" applyFill="1" applyBorder="1" applyAlignment="1">
      <alignment horizontal="right" vertical="center"/>
    </xf>
    <xf numFmtId="206" fontId="10" fillId="0" borderId="30" xfId="0" applyNumberFormat="1" applyFont="1" applyFill="1" applyBorder="1" applyAlignment="1">
      <alignment horizontal="right" vertical="center"/>
    </xf>
    <xf numFmtId="206" fontId="21" fillId="0" borderId="0" xfId="0" applyNumberFormat="1" applyFont="1" applyFill="1" applyBorder="1" applyAlignment="1">
      <alignment horizontal="right" vertical="center"/>
    </xf>
    <xf numFmtId="206" fontId="10" fillId="0" borderId="35" xfId="0" applyNumberFormat="1" applyFont="1" applyFill="1" applyBorder="1" applyAlignment="1">
      <alignment horizontal="right" vertical="center"/>
    </xf>
    <xf numFmtId="206" fontId="81" fillId="0" borderId="31" xfId="0" applyNumberFormat="1" applyFont="1" applyFill="1" applyBorder="1" applyAlignment="1">
      <alignment horizontal="right" vertical="center"/>
    </xf>
    <xf numFmtId="206" fontId="4" fillId="0" borderId="31" xfId="0" applyNumberFormat="1" applyFont="1" applyFill="1" applyBorder="1" applyAlignment="1">
      <alignment horizontal="right" vertical="center"/>
    </xf>
    <xf numFmtId="206" fontId="83" fillId="0" borderId="31" xfId="0" applyNumberFormat="1" applyFont="1" applyFill="1" applyBorder="1" applyAlignment="1">
      <alignment horizontal="right" vertical="center"/>
    </xf>
    <xf numFmtId="206" fontId="21" fillId="0" borderId="33" xfId="0" applyNumberFormat="1" applyFont="1" applyFill="1" applyBorder="1" applyAlignment="1">
      <alignment horizontal="right" vertical="center"/>
    </xf>
    <xf numFmtId="205" fontId="10" fillId="0" borderId="41" xfId="0" applyNumberFormat="1" applyFont="1" applyFill="1" applyBorder="1" applyAlignment="1">
      <alignment horizontal="right" vertical="center"/>
    </xf>
    <xf numFmtId="205" fontId="10" fillId="0" borderId="35" xfId="0" applyNumberFormat="1" applyFont="1" applyFill="1" applyBorder="1" applyAlignment="1">
      <alignment horizontal="right" vertical="center"/>
    </xf>
    <xf numFmtId="205" fontId="10" fillId="0" borderId="31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10" fillId="0" borderId="3" xfId="0" applyNumberFormat="1" applyFont="1" applyFill="1" applyBorder="1" applyAlignment="1">
      <alignment horizontal="right" vertical="center"/>
    </xf>
    <xf numFmtId="205" fontId="10" fillId="0" borderId="30" xfId="0" applyNumberFormat="1" applyFont="1" applyFill="1" applyBorder="1" applyAlignment="1">
      <alignment horizontal="right" vertical="center"/>
    </xf>
    <xf numFmtId="205" fontId="1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83" fillId="0" borderId="31" xfId="0" applyNumberFormat="1" applyFont="1" applyFill="1" applyBorder="1" applyAlignment="1">
      <alignment horizontal="right" vertical="center"/>
    </xf>
    <xf numFmtId="205" fontId="10" fillId="16" borderId="41" xfId="0" applyNumberFormat="1" applyFont="1" applyFill="1" applyBorder="1" applyAlignment="1">
      <alignment horizontal="right" vertical="center"/>
    </xf>
    <xf numFmtId="205" fontId="9" fillId="16" borderId="1" xfId="0" applyNumberFormat="1" applyFont="1" applyFill="1" applyBorder="1" applyAlignment="1">
      <alignment horizontal="right" vertical="center"/>
    </xf>
    <xf numFmtId="205" fontId="21" fillId="0" borderId="38" xfId="0" applyNumberFormat="1" applyFont="1" applyFill="1" applyBorder="1" applyAlignment="1" quotePrefix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206" fontId="10" fillId="0" borderId="31" xfId="0" applyNumberFormat="1" applyFont="1" applyFill="1" applyBorder="1" applyAlignment="1">
      <alignment horizontal="right" vertical="center"/>
    </xf>
    <xf numFmtId="203" fontId="10" fillId="0" borderId="42" xfId="0" applyNumberFormat="1" applyFont="1" applyFill="1" applyBorder="1" applyAlignment="1">
      <alignment horizontal="right" vertical="center"/>
    </xf>
    <xf numFmtId="203" fontId="10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0" fontId="89" fillId="0" borderId="0" xfId="0" applyFont="1" applyFill="1" applyBorder="1" applyAlignment="1">
      <alignment vertical="center"/>
    </xf>
    <xf numFmtId="0" fontId="89" fillId="0" borderId="0" xfId="0" applyNumberFormat="1" applyFont="1" applyFill="1" applyBorder="1" applyAlignment="1">
      <alignment horizontal="left" vertical="center"/>
    </xf>
    <xf numFmtId="0" fontId="4" fillId="16" borderId="0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76" fontId="10" fillId="16" borderId="43" xfId="0" applyNumberFormat="1" applyFont="1" applyFill="1" applyBorder="1" applyAlignment="1">
      <alignment horizontal="right" vertical="center"/>
    </xf>
    <xf numFmtId="0" fontId="21" fillId="0" borderId="1" xfId="0" applyNumberFormat="1" applyFont="1" applyFill="1" applyBorder="1" applyAlignment="1">
      <alignment vertical="center"/>
    </xf>
    <xf numFmtId="205" fontId="0" fillId="0" borderId="31" xfId="0" applyNumberFormat="1" applyFont="1" applyFill="1" applyBorder="1" applyAlignment="1">
      <alignment horizontal="right" vertical="center"/>
    </xf>
    <xf numFmtId="199" fontId="21" fillId="0" borderId="0" xfId="295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82" fillId="0" borderId="3" xfId="0" applyNumberFormat="1" applyFont="1" applyFill="1" applyBorder="1" applyAlignment="1">
      <alignment horizontal="right" vertical="center"/>
    </xf>
    <xf numFmtId="206" fontId="0" fillId="0" borderId="3" xfId="325" applyNumberFormat="1" applyFont="1" applyFill="1" applyBorder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82" fillId="0" borderId="30" xfId="0" applyNumberFormat="1" applyFont="1" applyFill="1" applyBorder="1" applyAlignment="1">
      <alignment horizontal="right" vertical="center"/>
    </xf>
    <xf numFmtId="206" fontId="0" fillId="16" borderId="30" xfId="325" applyNumberFormat="1" applyFont="1" applyFill="1" applyBorder="1">
      <alignment horizontal="right" vertical="center"/>
    </xf>
    <xf numFmtId="206" fontId="0" fillId="0" borderId="30" xfId="325" applyNumberFormat="1" applyFont="1" applyFill="1" applyBorder="1">
      <alignment horizontal="right" vertical="center"/>
    </xf>
    <xf numFmtId="206" fontId="10" fillId="0" borderId="3" xfId="0" applyNumberFormat="1" applyFont="1" applyFill="1" applyBorder="1" applyAlignment="1">
      <alignment horizontal="right" vertical="center"/>
    </xf>
    <xf numFmtId="0" fontId="4" fillId="0" borderId="37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0" fontId="8" fillId="0" borderId="37" xfId="0" applyNumberFormat="1" applyFont="1" applyFill="1" applyBorder="1" applyAlignment="1">
      <alignment horizontal="right" vertical="center"/>
    </xf>
    <xf numFmtId="177" fontId="21" fillId="0" borderId="35" xfId="0" applyNumberFormat="1" applyFont="1" applyFill="1" applyBorder="1" applyAlignment="1">
      <alignment horizontal="right" vertical="center"/>
    </xf>
    <xf numFmtId="177" fontId="10" fillId="0" borderId="34" xfId="0" applyNumberFormat="1" applyFont="1" applyFill="1" applyBorder="1" applyAlignment="1">
      <alignment horizontal="right" vertical="center"/>
    </xf>
    <xf numFmtId="177" fontId="83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 applyAlignment="1">
      <alignment horizontal="right" vertical="center"/>
    </xf>
    <xf numFmtId="0" fontId="10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29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0" fillId="0" borderId="30" xfId="0" applyNumberFormat="1" applyFont="1" applyFill="1" applyBorder="1" applyAlignment="1">
      <alignment horizontal="right" vertical="center"/>
    </xf>
    <xf numFmtId="179" fontId="10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79" fontId="0" fillId="29" borderId="34" xfId="0" applyNumberFormat="1" applyFont="1" applyFill="1" applyBorder="1" applyAlignment="1">
      <alignment horizontal="right" vertical="center"/>
    </xf>
    <xf numFmtId="179" fontId="0" fillId="0" borderId="34" xfId="0" applyNumberFormat="1" applyFont="1" applyFill="1" applyBorder="1" applyAlignment="1">
      <alignment horizontal="right" vertical="center"/>
    </xf>
    <xf numFmtId="179" fontId="10" fillId="0" borderId="34" xfId="0" applyNumberFormat="1" applyFont="1" applyFill="1" applyBorder="1" applyAlignment="1">
      <alignment horizontal="right" vertical="center"/>
    </xf>
    <xf numFmtId="0" fontId="83" fillId="29" borderId="31" xfId="0" applyNumberFormat="1" applyFont="1" applyFill="1" applyBorder="1" applyAlignment="1">
      <alignment horizontal="right" vertical="center"/>
    </xf>
    <xf numFmtId="179" fontId="83" fillId="29" borderId="31" xfId="0" applyNumberFormat="1" applyFont="1" applyFill="1" applyBorder="1" applyAlignment="1">
      <alignment horizontal="right" vertical="center"/>
    </xf>
    <xf numFmtId="179" fontId="83" fillId="0" borderId="31" xfId="0" applyNumberFormat="1" applyFont="1" applyFill="1" applyBorder="1" applyAlignment="1">
      <alignment horizontal="right" vertical="center"/>
    </xf>
    <xf numFmtId="177" fontId="10" fillId="0" borderId="35" xfId="0" applyNumberFormat="1" applyFont="1" applyFill="1" applyBorder="1" applyAlignment="1" quotePrefix="1">
      <alignment horizontal="right" vertical="center"/>
    </xf>
    <xf numFmtId="177" fontId="10" fillId="0" borderId="34" xfId="0" applyNumberFormat="1" applyFont="1" applyFill="1" applyBorder="1" applyAlignment="1" quotePrefix="1">
      <alignment horizontal="right" vertical="center"/>
    </xf>
    <xf numFmtId="204" fontId="0" fillId="16" borderId="3" xfId="325" applyNumberFormat="1" applyFont="1" applyFill="1" applyBorder="1">
      <alignment horizontal="right" vertical="center"/>
    </xf>
    <xf numFmtId="177" fontId="10" fillId="0" borderId="3" xfId="0" applyNumberFormat="1" applyFont="1" applyFill="1" applyBorder="1" applyAlignment="1" quotePrefix="1">
      <alignment horizontal="right" vertical="center"/>
    </xf>
    <xf numFmtId="204" fontId="0" fillId="0" borderId="3" xfId="325" applyNumberFormat="1" applyFont="1" applyFill="1" applyBorder="1">
      <alignment horizontal="right" vertical="center"/>
    </xf>
    <xf numFmtId="204" fontId="0" fillId="0" borderId="30" xfId="325" applyNumberFormat="1" applyFont="1" applyFill="1" applyBorder="1">
      <alignment horizontal="right" vertical="center"/>
    </xf>
    <xf numFmtId="204" fontId="0" fillId="16" borderId="2" xfId="325" applyNumberFormat="1" applyFont="1" applyFill="1" applyBorder="1">
      <alignment horizontal="right" vertical="center"/>
    </xf>
    <xf numFmtId="204" fontId="0" fillId="0" borderId="2" xfId="325" applyNumberFormat="1" applyFont="1" applyFill="1" applyBorder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6" fontId="10" fillId="0" borderId="44" xfId="0" applyNumberFormat="1" applyFont="1" applyFill="1" applyBorder="1" applyAlignment="1">
      <alignment horizontal="right" vertical="center"/>
    </xf>
    <xf numFmtId="205" fontId="0" fillId="0" borderId="3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35" xfId="0" applyNumberFormat="1" applyFont="1" applyFill="1" applyBorder="1" applyAlignment="1">
      <alignment horizontal="left" vertical="center" wrapText="1"/>
    </xf>
    <xf numFmtId="179" fontId="10" fillId="0" borderId="33" xfId="0" applyNumberFormat="1" applyFont="1" applyFill="1" applyBorder="1" applyAlignment="1">
      <alignment horizontal="right" vertical="center"/>
    </xf>
    <xf numFmtId="177" fontId="95" fillId="0" borderId="33" xfId="0" applyNumberFormat="1" applyFont="1" applyFill="1" applyBorder="1" applyAlignment="1">
      <alignment horizontal="right" vertical="center"/>
    </xf>
    <xf numFmtId="177" fontId="95" fillId="0" borderId="31" xfId="0" applyNumberFormat="1" applyFont="1" applyFill="1" applyBorder="1" applyAlignment="1">
      <alignment horizontal="right" vertical="center"/>
    </xf>
    <xf numFmtId="0" fontId="6" fillId="26" borderId="0" xfId="0" applyNumberFormat="1" applyFont="1" applyFill="1" applyBorder="1" applyAlignment="1">
      <alignment horizontal="center" vertical="center"/>
    </xf>
    <xf numFmtId="176" fontId="0" fillId="0" borderId="29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quotePrefix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 quotePrefix="1">
      <alignment horizontal="right" vertical="center"/>
    </xf>
    <xf numFmtId="176" fontId="0" fillId="0" borderId="34" xfId="0" applyNumberFormat="1" applyFont="1" applyFill="1" applyBorder="1" applyAlignment="1">
      <alignment horizontal="right" vertical="center"/>
    </xf>
    <xf numFmtId="176" fontId="0" fillId="0" borderId="4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176" fontId="0" fillId="0" borderId="33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6" fontId="0" fillId="0" borderId="3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325" applyNumberFormat="1" applyFont="1" applyFill="1" applyBorder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76" fontId="0" fillId="16" borderId="0" xfId="0" applyNumberFormat="1" applyFont="1" applyFill="1" applyBorder="1" applyAlignment="1">
      <alignment horizontal="right" vertical="center"/>
    </xf>
    <xf numFmtId="0" fontId="0" fillId="29" borderId="33" xfId="0" applyNumberFormat="1" applyFont="1" applyFill="1" applyBorder="1" applyAlignment="1">
      <alignment horizontal="right" vertical="center"/>
    </xf>
    <xf numFmtId="0" fontId="0" fillId="29" borderId="30" xfId="0" applyNumberFormat="1" applyFont="1" applyFill="1" applyBorder="1" applyAlignment="1">
      <alignment horizontal="right" vertical="center"/>
    </xf>
    <xf numFmtId="179" fontId="0" fillId="29" borderId="30" xfId="0" applyNumberFormat="1" applyFont="1" applyFill="1" applyBorder="1" applyAlignment="1">
      <alignment horizontal="right" vertical="center"/>
    </xf>
    <xf numFmtId="179" fontId="0" fillId="29" borderId="34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 quotePrefix="1">
      <alignment horizontal="right" vertical="center"/>
    </xf>
    <xf numFmtId="177" fontId="0" fillId="0" borderId="34" xfId="0" applyNumberFormat="1" applyFont="1" applyFill="1" applyBorder="1" applyAlignment="1" quotePrefix="1">
      <alignment horizontal="right" vertical="center"/>
    </xf>
    <xf numFmtId="203" fontId="0" fillId="0" borderId="42" xfId="0" applyNumberFormat="1" applyFont="1" applyFill="1" applyBorder="1" applyAlignment="1">
      <alignment horizontal="right" vertical="center"/>
    </xf>
    <xf numFmtId="203" fontId="0" fillId="0" borderId="40" xfId="0" applyNumberFormat="1" applyFont="1" applyFill="1" applyBorder="1" applyAlignment="1">
      <alignment horizontal="right" vertical="center"/>
    </xf>
    <xf numFmtId="176" fontId="0" fillId="16" borderId="30" xfId="0" applyNumberFormat="1" applyFont="1" applyFill="1" applyBorder="1" applyAlignment="1" quotePrefix="1">
      <alignment horizontal="right" vertical="center"/>
    </xf>
    <xf numFmtId="176" fontId="0" fillId="16" borderId="3" xfId="326" applyNumberFormat="1" applyFont="1" applyFill="1" applyBorder="1">
      <alignment horizontal="right" vertical="center"/>
    </xf>
    <xf numFmtId="176" fontId="0" fillId="0" borderId="3" xfId="326" applyNumberFormat="1" applyFont="1" applyFill="1" applyBorder="1">
      <alignment horizontal="right" vertical="center"/>
    </xf>
    <xf numFmtId="0" fontId="0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206" fontId="0" fillId="0" borderId="33" xfId="0" applyNumberFormat="1" applyFont="1" applyFill="1" applyBorder="1" applyAlignment="1">
      <alignment horizontal="right" vertical="center"/>
    </xf>
    <xf numFmtId="206" fontId="0" fillId="0" borderId="2" xfId="0" applyNumberFormat="1" applyFont="1" applyFill="1" applyBorder="1" applyAlignment="1">
      <alignment horizontal="right" vertical="center"/>
    </xf>
    <xf numFmtId="206" fontId="0" fillId="0" borderId="30" xfId="0" applyNumberFormat="1" applyFont="1" applyFill="1" applyBorder="1" applyAlignment="1">
      <alignment horizontal="right" vertical="center"/>
    </xf>
    <xf numFmtId="206" fontId="0" fillId="0" borderId="3" xfId="0" applyNumberFormat="1" applyFont="1" applyFill="1" applyBorder="1" applyAlignment="1">
      <alignment horizontal="right" vertical="center"/>
    </xf>
    <xf numFmtId="206" fontId="0" fillId="0" borderId="29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5" fontId="0" fillId="0" borderId="3" xfId="0" applyNumberFormat="1" applyFont="1" applyFill="1" applyBorder="1" applyAlignment="1">
      <alignment horizontal="right" vertical="center"/>
    </xf>
    <xf numFmtId="205" fontId="0" fillId="0" borderId="30" xfId="0" applyNumberFormat="1" applyFont="1" applyFill="1" applyBorder="1" applyAlignment="1">
      <alignment horizontal="right" vertical="center"/>
    </xf>
    <xf numFmtId="205" fontId="0" fillId="0" borderId="34" xfId="0" applyNumberFormat="1" applyFont="1" applyFill="1" applyBorder="1" applyAlignment="1">
      <alignment horizontal="right" vertical="center"/>
    </xf>
    <xf numFmtId="205" fontId="0" fillId="0" borderId="35" xfId="0" applyNumberFormat="1" applyFont="1" applyFill="1" applyBorder="1" applyAlignment="1">
      <alignment horizontal="right" vertical="center"/>
    </xf>
    <xf numFmtId="205" fontId="0" fillId="0" borderId="33" xfId="0" applyNumberFormat="1" applyFont="1" applyFill="1" applyBorder="1" applyAlignment="1">
      <alignment horizontal="right" vertical="center"/>
    </xf>
    <xf numFmtId="205" fontId="0" fillId="16" borderId="38" xfId="0" applyNumberFormat="1" applyFont="1" applyFill="1" applyBorder="1" applyAlignment="1">
      <alignment horizontal="right" vertical="center"/>
    </xf>
    <xf numFmtId="205" fontId="0" fillId="16" borderId="3" xfId="0" applyNumberFormat="1" applyFont="1" applyFill="1" applyBorder="1" applyAlignment="1">
      <alignment horizontal="right" vertical="center"/>
    </xf>
    <xf numFmtId="205" fontId="0" fillId="16" borderId="30" xfId="0" applyNumberFormat="1" applyFont="1" applyFill="1" applyBorder="1" applyAlignment="1">
      <alignment horizontal="right" vertical="center"/>
    </xf>
    <xf numFmtId="205" fontId="0" fillId="16" borderId="2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6" fontId="0" fillId="0" borderId="44" xfId="0" applyNumberFormat="1" applyFont="1" applyFill="1" applyBorder="1" applyAlignment="1">
      <alignment horizontal="right" vertical="center"/>
    </xf>
    <xf numFmtId="176" fontId="21" fillId="0" borderId="40" xfId="0" applyNumberFormat="1" applyFont="1" applyFill="1" applyBorder="1" applyAlignment="1">
      <alignment horizontal="right" vertical="center"/>
    </xf>
    <xf numFmtId="176" fontId="82" fillId="0" borderId="29" xfId="0" applyNumberFormat="1" applyFont="1" applyFill="1" applyBorder="1" applyAlignment="1">
      <alignment horizontal="right" vertical="center"/>
    </xf>
    <xf numFmtId="176" fontId="10" fillId="0" borderId="4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>
      <alignment horizontal="right" vertical="center"/>
    </xf>
    <xf numFmtId="176" fontId="82" fillId="0" borderId="0" xfId="0" applyNumberFormat="1" applyFont="1" applyFill="1" applyBorder="1" applyAlignment="1" quotePrefix="1">
      <alignment horizontal="right" vertical="center"/>
    </xf>
    <xf numFmtId="206" fontId="10" fillId="0" borderId="35" xfId="0" applyNumberFormat="1" applyFont="1" applyFill="1" applyBorder="1" applyAlignment="1" quotePrefix="1">
      <alignment horizontal="right" vertical="center"/>
    </xf>
    <xf numFmtId="205" fontId="21" fillId="0" borderId="33" xfId="0" applyNumberFormat="1" applyFont="1" applyFill="1" applyBorder="1" applyAlignment="1">
      <alignment horizontal="right" vertical="center"/>
    </xf>
    <xf numFmtId="205" fontId="21" fillId="0" borderId="30" xfId="0" applyNumberFormat="1" applyFont="1" applyFill="1" applyBorder="1" applyAlignment="1">
      <alignment horizontal="right" vertical="center"/>
    </xf>
    <xf numFmtId="205" fontId="21" fillId="0" borderId="34" xfId="0" applyNumberFormat="1" applyFont="1" applyFill="1" applyBorder="1" applyAlignment="1">
      <alignment horizontal="right" vertical="center"/>
    </xf>
    <xf numFmtId="205" fontId="0" fillId="0" borderId="38" xfId="0" applyNumberFormat="1" applyFont="1" applyFill="1" applyBorder="1" applyAlignment="1">
      <alignment horizontal="right" vertical="center"/>
    </xf>
    <xf numFmtId="205" fontId="21" fillId="0" borderId="3" xfId="0" applyNumberFormat="1" applyFont="1" applyFill="1" applyBorder="1" applyAlignment="1">
      <alignment horizontal="right" vertical="center"/>
    </xf>
    <xf numFmtId="205" fontId="21" fillId="0" borderId="2" xfId="0" applyNumberFormat="1" applyFont="1" applyFill="1" applyBorder="1" applyAlignment="1">
      <alignment horizontal="right" vertical="center"/>
    </xf>
    <xf numFmtId="176" fontId="93" fillId="0" borderId="31" xfId="0" applyNumberFormat="1" applyFont="1" applyFill="1" applyBorder="1" applyAlignment="1">
      <alignment horizontal="right" vertical="center"/>
    </xf>
    <xf numFmtId="176" fontId="96" fillId="0" borderId="31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6" fontId="0" fillId="30" borderId="3" xfId="326" applyNumberFormat="1" applyFont="1" applyFill="1" applyBorder="1">
      <alignment horizontal="right" vertical="center"/>
    </xf>
    <xf numFmtId="176" fontId="10" fillId="30" borderId="30" xfId="0" applyNumberFormat="1" applyFont="1" applyFill="1" applyBorder="1" applyAlignment="1">
      <alignment horizontal="right" vertical="center"/>
    </xf>
    <xf numFmtId="176" fontId="9" fillId="30" borderId="32" xfId="0" applyNumberFormat="1" applyFont="1" applyFill="1" applyBorder="1" applyAlignment="1">
      <alignment horizontal="right" vertical="center"/>
    </xf>
    <xf numFmtId="0" fontId="4" fillId="30" borderId="0" xfId="0" applyNumberFormat="1" applyFont="1" applyFill="1" applyBorder="1" applyAlignment="1">
      <alignment horizontal="right" vertical="center"/>
    </xf>
    <xf numFmtId="0" fontId="4" fillId="30" borderId="2" xfId="0" applyNumberFormat="1" applyFont="1" applyFill="1" applyBorder="1" applyAlignment="1">
      <alignment horizontal="right" vertical="center"/>
    </xf>
    <xf numFmtId="206" fontId="4" fillId="30" borderId="31" xfId="0" applyNumberFormat="1" applyFont="1" applyFill="1" applyBorder="1" applyAlignment="1">
      <alignment horizontal="right" vertical="center"/>
    </xf>
    <xf numFmtId="3" fontId="0" fillId="30" borderId="31" xfId="0" applyNumberFormat="1" applyFont="1" applyFill="1" applyBorder="1" applyAlignment="1">
      <alignment vertical="center"/>
    </xf>
    <xf numFmtId="206" fontId="81" fillId="30" borderId="31" xfId="0" applyNumberFormat="1" applyFont="1" applyFill="1" applyBorder="1" applyAlignment="1">
      <alignment horizontal="right" vertical="center"/>
    </xf>
    <xf numFmtId="206" fontId="83" fillId="30" borderId="31" xfId="0" applyNumberFormat="1" applyFont="1" applyFill="1" applyBorder="1" applyAlignment="1">
      <alignment horizontal="right" vertical="center"/>
    </xf>
    <xf numFmtId="176" fontId="9" fillId="30" borderId="0" xfId="0" applyNumberFormat="1" applyFont="1" applyFill="1" applyBorder="1" applyAlignment="1">
      <alignment horizontal="right" vertical="center"/>
    </xf>
    <xf numFmtId="205" fontId="10" fillId="30" borderId="35" xfId="0" applyNumberFormat="1" applyFont="1" applyFill="1" applyBorder="1" applyAlignment="1">
      <alignment horizontal="right" vertical="center"/>
    </xf>
    <xf numFmtId="205" fontId="10" fillId="30" borderId="31" xfId="0" applyNumberFormat="1" applyFont="1" applyFill="1" applyBorder="1" applyAlignment="1">
      <alignment horizontal="right" vertical="center"/>
    </xf>
    <xf numFmtId="206" fontId="21" fillId="30" borderId="33" xfId="0" applyNumberFormat="1" applyFont="1" applyFill="1" applyBorder="1" applyAlignment="1">
      <alignment horizontal="right" vertical="center"/>
    </xf>
    <xf numFmtId="206" fontId="21" fillId="30" borderId="30" xfId="0" applyNumberFormat="1" applyFont="1" applyFill="1" applyBorder="1" applyAlignment="1">
      <alignment horizontal="right" vertical="center"/>
    </xf>
    <xf numFmtId="205" fontId="0" fillId="30" borderId="31" xfId="0" applyNumberFormat="1" applyFont="1" applyFill="1" applyBorder="1" applyAlignment="1">
      <alignment horizontal="right" vertical="center"/>
    </xf>
    <xf numFmtId="177" fontId="81" fillId="30" borderId="0" xfId="0" applyNumberFormat="1" applyFont="1" applyFill="1" applyBorder="1" applyAlignment="1">
      <alignment horizontal="right" vertical="center"/>
    </xf>
    <xf numFmtId="206" fontId="0" fillId="30" borderId="3" xfId="325" applyNumberFormat="1" applyFont="1" applyFill="1" applyBorder="1">
      <alignment horizontal="right" vertical="center"/>
    </xf>
    <xf numFmtId="206" fontId="0" fillId="30" borderId="30" xfId="325" applyNumberFormat="1" applyFont="1" applyFill="1" applyBorder="1">
      <alignment horizontal="right" vertical="center"/>
    </xf>
    <xf numFmtId="0" fontId="0" fillId="30" borderId="0" xfId="0" applyFont="1" applyFill="1" applyBorder="1" applyAlignment="1">
      <alignment vertical="center"/>
    </xf>
    <xf numFmtId="176" fontId="0" fillId="30" borderId="31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wrapText="1" indent="2"/>
    </xf>
    <xf numFmtId="0" fontId="0" fillId="0" borderId="0" xfId="0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34" xfId="0" applyNumberFormat="1" applyFont="1" applyFill="1" applyBorder="1" applyAlignment="1">
      <alignment vertical="center"/>
    </xf>
    <xf numFmtId="205" fontId="83" fillId="0" borderId="0" xfId="0" applyNumberFormat="1" applyFont="1" applyFill="1" applyBorder="1" applyAlignment="1">
      <alignment horizontal="right" vertical="center"/>
    </xf>
    <xf numFmtId="205" fontId="21" fillId="16" borderId="3" xfId="0" applyNumberFormat="1" applyFont="1" applyFill="1" applyBorder="1" applyAlignment="1">
      <alignment horizontal="right" vertical="center"/>
    </xf>
    <xf numFmtId="205" fontId="21" fillId="16" borderId="30" xfId="0" applyNumberFormat="1" applyFont="1" applyFill="1" applyBorder="1" applyAlignment="1">
      <alignment horizontal="right" vertical="center"/>
    </xf>
    <xf numFmtId="205" fontId="21" fillId="16" borderId="2" xfId="0" applyNumberFormat="1" applyFont="1" applyFill="1" applyBorder="1" applyAlignment="1">
      <alignment horizontal="right" vertical="center"/>
    </xf>
    <xf numFmtId="208" fontId="21" fillId="0" borderId="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/>
    </xf>
    <xf numFmtId="206" fontId="82" fillId="30" borderId="3" xfId="0" applyNumberFormat="1" applyFont="1" applyFill="1" applyBorder="1" applyAlignment="1">
      <alignment horizontal="right" vertical="center"/>
    </xf>
    <xf numFmtId="206" fontId="82" fillId="0" borderId="45" xfId="0" applyNumberFormat="1" applyFont="1" applyFill="1" applyBorder="1" applyAlignment="1">
      <alignment horizontal="right" vertical="center"/>
    </xf>
    <xf numFmtId="206" fontId="82" fillId="30" borderId="45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205" fontId="9" fillId="16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8" borderId="0" xfId="0" applyFont="1" applyFill="1" applyAlignment="1">
      <alignment/>
    </xf>
    <xf numFmtId="0" fontId="21" fillId="0" borderId="39" xfId="0" applyNumberFormat="1" applyFont="1" applyFill="1" applyBorder="1" applyAlignment="1">
      <alignment vertical="center"/>
    </xf>
    <xf numFmtId="203" fontId="21" fillId="0" borderId="0" xfId="0" applyNumberFormat="1" applyFont="1" applyFill="1" applyBorder="1" applyAlignment="1">
      <alignment horizontal="right" vertical="center"/>
    </xf>
    <xf numFmtId="203" fontId="10" fillId="0" borderId="0" xfId="0" applyNumberFormat="1" applyFont="1" applyFill="1" applyBorder="1" applyAlignment="1">
      <alignment horizontal="right" vertical="center"/>
    </xf>
    <xf numFmtId="203" fontId="21" fillId="0" borderId="38" xfId="0" applyNumberFormat="1" applyFont="1" applyFill="1" applyBorder="1" applyAlignment="1">
      <alignment horizontal="right" vertical="center"/>
    </xf>
    <xf numFmtId="203" fontId="10" fillId="0" borderId="38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vertical="center"/>
    </xf>
    <xf numFmtId="203" fontId="9" fillId="0" borderId="1" xfId="0" applyNumberFormat="1" applyFont="1" applyFill="1" applyBorder="1" applyAlignment="1">
      <alignment horizontal="right" vertical="center"/>
    </xf>
    <xf numFmtId="203" fontId="0" fillId="0" borderId="38" xfId="0" applyNumberFormat="1" applyFont="1" applyFill="1" applyBorder="1" applyAlignment="1">
      <alignment horizontal="right" vertical="center"/>
    </xf>
    <xf numFmtId="203" fontId="0" fillId="0" borderId="39" xfId="0" applyNumberFormat="1" applyFont="1" applyFill="1" applyBorder="1" applyAlignment="1">
      <alignment horizontal="right" vertical="center"/>
    </xf>
    <xf numFmtId="0" fontId="9" fillId="0" borderId="31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5" fontId="0" fillId="0" borderId="29" xfId="0" applyNumberFormat="1" applyFont="1" applyFill="1" applyBorder="1" applyAlignment="1">
      <alignment horizontal="right" vertical="center"/>
    </xf>
    <xf numFmtId="208" fontId="0" fillId="0" borderId="29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203" fontId="21" fillId="0" borderId="40" xfId="0" applyNumberFormat="1" applyFont="1" applyFill="1" applyBorder="1" applyAlignment="1">
      <alignment horizontal="right" vertical="center"/>
    </xf>
    <xf numFmtId="208" fontId="21" fillId="0" borderId="4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6" fontId="21" fillId="0" borderId="33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30" xfId="0" applyNumberFormat="1" applyFont="1" applyFill="1" applyBorder="1" applyAlignment="1">
      <alignment horizontal="right" vertical="center"/>
    </xf>
    <xf numFmtId="203" fontId="21" fillId="0" borderId="39" xfId="0" applyNumberFormat="1" applyFont="1" applyFill="1" applyBorder="1" applyAlignment="1">
      <alignment horizontal="right" vertical="center"/>
    </xf>
    <xf numFmtId="208" fontId="9" fillId="16" borderId="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 quotePrefix="1">
      <alignment horizontal="right" vertical="center"/>
    </xf>
    <xf numFmtId="176" fontId="21" fillId="0" borderId="39" xfId="0" applyNumberFormat="1" applyFont="1" applyFill="1" applyBorder="1" applyAlignment="1">
      <alignment horizontal="right" vertical="center"/>
    </xf>
    <xf numFmtId="176" fontId="0" fillId="0" borderId="35" xfId="0" applyNumberFormat="1" applyFont="1" applyFill="1" applyBorder="1" applyAlignment="1" quotePrefix="1">
      <alignment horizontal="right" vertical="center"/>
    </xf>
    <xf numFmtId="0" fontId="0" fillId="0" borderId="31" xfId="0" applyNumberFormat="1" applyFont="1" applyFill="1" applyBorder="1" applyAlignment="1">
      <alignment horizontal="left" vertical="center" wrapText="1"/>
    </xf>
    <xf numFmtId="3" fontId="0" fillId="0" borderId="31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horizontal="right" vertical="center"/>
    </xf>
    <xf numFmtId="206" fontId="0" fillId="0" borderId="35" xfId="0" applyNumberFormat="1" applyFont="1" applyFill="1" applyBorder="1" applyAlignment="1">
      <alignment horizontal="right" vertical="center"/>
    </xf>
    <xf numFmtId="206" fontId="0" fillId="0" borderId="31" xfId="0" applyNumberFormat="1" applyFont="1" applyFill="1" applyBorder="1" applyAlignment="1">
      <alignment vertical="center"/>
    </xf>
    <xf numFmtId="176" fontId="21" fillId="0" borderId="3" xfId="0" applyNumberFormat="1" applyFont="1" applyFill="1" applyBorder="1" applyAlignment="1">
      <alignment horizontal="right" vertical="center"/>
    </xf>
    <xf numFmtId="206" fontId="0" fillId="0" borderId="38" xfId="0" applyNumberFormat="1" applyFont="1" applyFill="1" applyBorder="1" applyAlignment="1">
      <alignment horizontal="right" vertical="center"/>
    </xf>
    <xf numFmtId="190" fontId="21" fillId="0" borderId="2" xfId="0" applyNumberFormat="1" applyFont="1" applyFill="1" applyBorder="1" applyAlignment="1">
      <alignment horizontal="right" vertical="center"/>
    </xf>
    <xf numFmtId="190" fontId="0" fillId="16" borderId="2" xfId="325" applyNumberFormat="1" applyFont="1" applyFill="1" applyBorder="1">
      <alignment horizontal="right" vertical="center"/>
    </xf>
    <xf numFmtId="190" fontId="0" fillId="0" borderId="2" xfId="325" applyNumberFormat="1" applyFont="1" applyFill="1" applyBorder="1">
      <alignment horizontal="right" vertical="center"/>
    </xf>
    <xf numFmtId="190" fontId="0" fillId="30" borderId="2" xfId="325" applyNumberFormat="1" applyFont="1" applyFill="1" applyBorder="1">
      <alignment horizontal="right" vertical="center"/>
    </xf>
    <xf numFmtId="190" fontId="0" fillId="0" borderId="2" xfId="0" applyNumberFormat="1" applyFont="1" applyFill="1" applyBorder="1" applyAlignment="1">
      <alignment horizontal="right" vertical="center"/>
    </xf>
    <xf numFmtId="190" fontId="10" fillId="0" borderId="2" xfId="0" applyNumberFormat="1" applyFont="1" applyFill="1" applyBorder="1" applyAlignment="1">
      <alignment horizontal="right" vertical="center"/>
    </xf>
    <xf numFmtId="0" fontId="87" fillId="26" borderId="46" xfId="0" applyFont="1" applyFill="1" applyBorder="1" applyAlignment="1">
      <alignment horizontal="left" vertical="center"/>
    </xf>
    <xf numFmtId="0" fontId="87" fillId="26" borderId="47" xfId="0" applyFont="1" applyFill="1" applyBorder="1" applyAlignment="1">
      <alignment horizontal="left" vertical="center"/>
    </xf>
    <xf numFmtId="0" fontId="87" fillId="26" borderId="46" xfId="0" applyFont="1" applyFill="1" applyBorder="1" applyAlignment="1">
      <alignment horizontal="left" vertical="center" wrapText="1"/>
    </xf>
    <xf numFmtId="0" fontId="87" fillId="26" borderId="47" xfId="0" applyFont="1" applyFill="1" applyBorder="1" applyAlignment="1">
      <alignment horizontal="left" vertical="center" wrapText="1"/>
    </xf>
  </cellXfs>
  <cellStyles count="353">
    <cellStyle name="Normal" xfId="0"/>
    <cellStyle name="# Assets" xfId="15"/>
    <cellStyle name="# Assets 2" xfId="16"/>
    <cellStyle name=";;;" xfId="17"/>
    <cellStyle name="?‹æØ‚è [0.00]_Region Orders (2)" xfId="18"/>
    <cellStyle name="?‹æØ‚è_Region Orders (2)" xfId="19"/>
    <cellStyle name="_AM" xfId="20"/>
    <cellStyle name="_AM 2" xfId="21"/>
    <cellStyle name="_Asset Management" xfId="22"/>
    <cellStyle name="_Asset Management 2" xfId="23"/>
    <cellStyle name="_BS_Capital" xfId="24"/>
    <cellStyle name="_BS_Capital 2" xfId="25"/>
    <cellStyle name="_Core Results by region" xfId="26"/>
    <cellStyle name="_Core Results by region 2" xfId="27"/>
    <cellStyle name="_FS 22" xfId="28"/>
    <cellStyle name="_FS 22 (2)" xfId="29"/>
    <cellStyle name="_FS 22 (2) 2" xfId="30"/>
    <cellStyle name="_FS 22 10" xfId="31"/>
    <cellStyle name="_FS 22 11" xfId="32"/>
    <cellStyle name="_FS 22 12" xfId="33"/>
    <cellStyle name="_FS 22 13" xfId="34"/>
    <cellStyle name="_FS 22 14" xfId="35"/>
    <cellStyle name="_FS 22 15" xfId="36"/>
    <cellStyle name="_FS 22 16" xfId="37"/>
    <cellStyle name="_FS 22 2" xfId="38"/>
    <cellStyle name="_FS 22 3" xfId="39"/>
    <cellStyle name="_FS 22 4" xfId="40"/>
    <cellStyle name="_FS 22 5" xfId="41"/>
    <cellStyle name="_FS 22 6" xfId="42"/>
    <cellStyle name="_FS 22 7" xfId="43"/>
    <cellStyle name="_FS 22 8" xfId="44"/>
    <cellStyle name="_FS 22 9" xfId="45"/>
    <cellStyle name="_FS BS" xfId="46"/>
    <cellStyle name="_FS BS 2" xfId="47"/>
    <cellStyle name="_FS CFS" xfId="48"/>
    <cellStyle name="_FS CFS 2" xfId="49"/>
    <cellStyle name="_FS ShEq" xfId="50"/>
    <cellStyle name="_FS ShEq 2" xfId="51"/>
    <cellStyle name="_IB" xfId="52"/>
    <cellStyle name="_IB 2" xfId="53"/>
    <cellStyle name="_Jan04_AUM_final" xfId="54"/>
    <cellStyle name="_KPI_graph-data" xfId="55"/>
    <cellStyle name="_OE" xfId="56"/>
    <cellStyle name="_OE 2" xfId="57"/>
    <cellStyle name="_PB" xfId="58"/>
    <cellStyle name="_PB 2" xfId="59"/>
    <cellStyle name="_PE_gains_Q306_JOD" xfId="60"/>
    <cellStyle name="_Q4P&amp;L-02_08_07" xfId="61"/>
    <cellStyle name="_Reporting Tables_MASTER_Q407" xfId="62"/>
    <cellStyle name="_Reporting Tables_MASTER_Q407 2" xfId="63"/>
    <cellStyle name="’Ê‰Ý [0.00]_Region Orders (2)" xfId="64"/>
    <cellStyle name="’Ê‰Ý_Region Orders (2)" xfId="65"/>
    <cellStyle name="•W?_Pacific Region P&amp;L" xfId="66"/>
    <cellStyle name="•W_Pacific Region P&amp;L" xfId="67"/>
    <cellStyle name="À " xfId="68"/>
    <cellStyle name="1 Blank" xfId="69"/>
    <cellStyle name="1 Header" xfId="70"/>
    <cellStyle name="1 Period 1" xfId="71"/>
    <cellStyle name="1 Period 2" xfId="72"/>
    <cellStyle name="1 Sub-header" xfId="73"/>
    <cellStyle name="2 Line - 1 Dotted" xfId="74"/>
    <cellStyle name="2 Line - 2 Thin" xfId="75"/>
    <cellStyle name="2 Line - 3 Medium" xfId="76"/>
    <cellStyle name="2 Line - 4 Thick" xfId="77"/>
    <cellStyle name="20% - Accent1" xfId="78"/>
    <cellStyle name="20% - Accent1 2" xfId="79"/>
    <cellStyle name="20% - Accent2" xfId="80"/>
    <cellStyle name="20% - Accent2 2" xfId="81"/>
    <cellStyle name="20% - Accent3" xfId="82"/>
    <cellStyle name="20% - Accent3 2" xfId="83"/>
    <cellStyle name="20% - Accent4" xfId="84"/>
    <cellStyle name="20% - Accent4 2" xfId="85"/>
    <cellStyle name="20% - Accent5" xfId="86"/>
    <cellStyle name="20% - Accent5 2" xfId="87"/>
    <cellStyle name="20% - Accent6" xfId="88"/>
    <cellStyle name="20% - Accent6 2" xfId="89"/>
    <cellStyle name="20% - Akzent1" xfId="90"/>
    <cellStyle name="20% - Akzent1 2" xfId="91"/>
    <cellStyle name="20% - Akzent2" xfId="92"/>
    <cellStyle name="20% - Akzent2 2" xfId="93"/>
    <cellStyle name="20% - Akzent3" xfId="94"/>
    <cellStyle name="20% - Akzent3 2" xfId="95"/>
    <cellStyle name="20% - Akzent4" xfId="96"/>
    <cellStyle name="20% - Akzent4 2" xfId="97"/>
    <cellStyle name="20% - Akzent5" xfId="98"/>
    <cellStyle name="20% - Akzent5 2" xfId="99"/>
    <cellStyle name="20% - Akzent6" xfId="100"/>
    <cellStyle name="20% - Akzent6 2" xfId="101"/>
    <cellStyle name="40% - Accent1" xfId="102"/>
    <cellStyle name="40% - Accent1 2" xfId="103"/>
    <cellStyle name="40% - Accent2" xfId="104"/>
    <cellStyle name="40% - Accent2 2" xfId="105"/>
    <cellStyle name="40% - Accent3" xfId="106"/>
    <cellStyle name="40% - Accent3 2" xfId="107"/>
    <cellStyle name="40% - Accent4" xfId="108"/>
    <cellStyle name="40% - Accent4 2" xfId="109"/>
    <cellStyle name="40% - Accent5" xfId="110"/>
    <cellStyle name="40% - Accent5 2" xfId="111"/>
    <cellStyle name="40% - Accent6" xfId="112"/>
    <cellStyle name="40% - Accent6 2" xfId="113"/>
    <cellStyle name="40% - Akzent1" xfId="114"/>
    <cellStyle name="40% - Akzent1 2" xfId="115"/>
    <cellStyle name="40% - Akzent2" xfId="116"/>
    <cellStyle name="40% - Akzent2 2" xfId="117"/>
    <cellStyle name="40% - Akzent3" xfId="118"/>
    <cellStyle name="40% - Akzent3 2" xfId="119"/>
    <cellStyle name="40% - Akzent4" xfId="120"/>
    <cellStyle name="40% - Akzent4 2" xfId="121"/>
    <cellStyle name="40% - Akzent5" xfId="122"/>
    <cellStyle name="40% - Akzent5 2" xfId="123"/>
    <cellStyle name="40% - Akzent6" xfId="124"/>
    <cellStyle name="40% - Akzent6 2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60% - Akzent1" xfId="132"/>
    <cellStyle name="60% - Akzent2" xfId="133"/>
    <cellStyle name="60% - Akzent3" xfId="134"/>
    <cellStyle name="60% - Akzent4" xfId="135"/>
    <cellStyle name="60% - Akzent5" xfId="136"/>
    <cellStyle name="60% - Akzent6" xfId="137"/>
    <cellStyle name="9065.186" xfId="138"/>
    <cellStyle name="Accent1" xfId="139"/>
    <cellStyle name="Accent2" xfId="140"/>
    <cellStyle name="Accent3" xfId="141"/>
    <cellStyle name="Accent4" xfId="142"/>
    <cellStyle name="Accent5" xfId="143"/>
    <cellStyle name="Accent6" xfId="144"/>
    <cellStyle name="Accounting" xfId="145"/>
    <cellStyle name="Address" xfId="146"/>
    <cellStyle name="Akzent1" xfId="147"/>
    <cellStyle name="Akzent2" xfId="148"/>
    <cellStyle name="Akzent3" xfId="149"/>
    <cellStyle name="Akzent4" xfId="150"/>
    <cellStyle name="Akzent5" xfId="151"/>
    <cellStyle name="Akzent6" xfId="152"/>
    <cellStyle name="args.style" xfId="153"/>
    <cellStyle name="Array" xfId="154"/>
    <cellStyle name="Array Enter" xfId="155"/>
    <cellStyle name="Array Enter 2" xfId="156"/>
    <cellStyle name="Ausgabe" xfId="157"/>
    <cellStyle name="Bad" xfId="158"/>
    <cellStyle name="BasisPoints" xfId="159"/>
    <cellStyle name="Berechnung" xfId="160"/>
    <cellStyle name="Body" xfId="161"/>
    <cellStyle name="Border Heavy" xfId="162"/>
    <cellStyle name="Border Thin" xfId="163"/>
    <cellStyle name="Budget Text" xfId="164"/>
    <cellStyle name="Budget2004" xfId="165"/>
    <cellStyle name="Budget2004 2" xfId="166"/>
    <cellStyle name="Budget2004Number" xfId="167"/>
    <cellStyle name="Budget2004Number 2" xfId="168"/>
    <cellStyle name="Budget2004Text" xfId="169"/>
    <cellStyle name="Budget2004Text 2" xfId="170"/>
    <cellStyle name="Budget2004TextWrap" xfId="171"/>
    <cellStyle name="Budget2004TextWrap 2" xfId="172"/>
    <cellStyle name="C" xfId="173"/>
    <cellStyle name="C 2" xfId="174"/>
    <cellStyle name="Calc Currency (0)" xfId="175"/>
    <cellStyle name="Calc Currency (0) 2" xfId="176"/>
    <cellStyle name="Calculation" xfId="177"/>
    <cellStyle name="Check Cell" xfId="178"/>
    <cellStyle name="City" xfId="179"/>
    <cellStyle name="City 2" xfId="180"/>
    <cellStyle name="col_blue_row" xfId="181"/>
    <cellStyle name="Collateral" xfId="182"/>
    <cellStyle name="Collateral 2" xfId="183"/>
    <cellStyle name="Comma" xfId="184"/>
    <cellStyle name="Comma  - Style1" xfId="185"/>
    <cellStyle name="Comma  - Style2" xfId="186"/>
    <cellStyle name="Comma  - Style3" xfId="187"/>
    <cellStyle name="Comma  - Style4" xfId="188"/>
    <cellStyle name="Comma  - Style5" xfId="189"/>
    <cellStyle name="Comma  - Style6" xfId="190"/>
    <cellStyle name="Comma  - Style7" xfId="191"/>
    <cellStyle name="Comma  - Style8" xfId="192"/>
    <cellStyle name="Comma [0]" xfId="193"/>
    <cellStyle name="Comma [1]" xfId="194"/>
    <cellStyle name="Comma0 - Modelo1" xfId="195"/>
    <cellStyle name="Comma0 - Style1" xfId="196"/>
    <cellStyle name="Comma1 - Modelo2" xfId="197"/>
    <cellStyle name="Comma1 - Style2" xfId="198"/>
    <cellStyle name="Copied" xfId="199"/>
    <cellStyle name="Currency" xfId="200"/>
    <cellStyle name="Currency ($)" xfId="201"/>
    <cellStyle name="Currency [0]" xfId="202"/>
    <cellStyle name="Currency [1]" xfId="203"/>
    <cellStyle name="Date" xfId="204"/>
    <cellStyle name="Date 2" xfId="205"/>
    <cellStyle name="Deal" xfId="206"/>
    <cellStyle name="Deal 2" xfId="207"/>
    <cellStyle name="Detail" xfId="208"/>
    <cellStyle name="Detail 2" xfId="209"/>
    <cellStyle name="Dia" xfId="210"/>
    <cellStyle name="Dollars" xfId="211"/>
    <cellStyle name="Eingabe" xfId="212"/>
    <cellStyle name="Encabez1" xfId="213"/>
    <cellStyle name="Encabez2" xfId="214"/>
    <cellStyle name="Entered" xfId="215"/>
    <cellStyle name="Ergebnis" xfId="216"/>
    <cellStyle name="Erklärender Text" xfId="217"/>
    <cellStyle name="Euro" xfId="218"/>
    <cellStyle name="Event" xfId="219"/>
    <cellStyle name="Explanatory Text" xfId="220"/>
    <cellStyle name="F2" xfId="221"/>
    <cellStyle name="F3" xfId="222"/>
    <cellStyle name="F4" xfId="223"/>
    <cellStyle name="F5" xfId="224"/>
    <cellStyle name="F6" xfId="225"/>
    <cellStyle name="F7" xfId="226"/>
    <cellStyle name="F8" xfId="227"/>
    <cellStyle name="Fijo" xfId="228"/>
    <cellStyle name="Financial format" xfId="229"/>
    <cellStyle name="Financiero" xfId="230"/>
    <cellStyle name="footer_graph" xfId="231"/>
    <cellStyle name="Footnote_SuperscriptNumber" xfId="232"/>
    <cellStyle name="fussnote_lauftext" xfId="233"/>
    <cellStyle name="G. Hofer" xfId="234"/>
    <cellStyle name="Good" xfId="235"/>
    <cellStyle name="Grey" xfId="236"/>
    <cellStyle name="Grey 2" xfId="237"/>
    <cellStyle name="Gut" xfId="238"/>
    <cellStyle name="header_0_col" xfId="239"/>
    <cellStyle name="Header1" xfId="240"/>
    <cellStyle name="Header2" xfId="241"/>
    <cellStyle name="heading" xfId="242"/>
    <cellStyle name="Heading 1" xfId="243"/>
    <cellStyle name="Heading 2" xfId="244"/>
    <cellStyle name="Heading 3" xfId="245"/>
    <cellStyle name="Heading 4" xfId="246"/>
    <cellStyle name="heading 5" xfId="247"/>
    <cellStyle name="Input" xfId="248"/>
    <cellStyle name="Input [yellow]" xfId="249"/>
    <cellStyle name="Input [yellow] 2" xfId="250"/>
    <cellStyle name="IS Summary" xfId="251"/>
    <cellStyle name="IS Summary 2" xfId="252"/>
    <cellStyle name="KPMG Heading 1" xfId="253"/>
    <cellStyle name="KPMG Heading 2" xfId="254"/>
    <cellStyle name="KPMG Heading 3" xfId="255"/>
    <cellStyle name="KPMG Heading 4" xfId="256"/>
    <cellStyle name="KPMG Normal" xfId="257"/>
    <cellStyle name="KPMG Normal Text" xfId="258"/>
    <cellStyle name="Linked Cell" xfId="259"/>
    <cellStyle name="Loan Amount" xfId="260"/>
    <cellStyle name="Loan Amount 2" xfId="261"/>
    <cellStyle name="Locked" xfId="262"/>
    <cellStyle name="MacroCode" xfId="263"/>
    <cellStyle name="Millares [0]_10 AVERIAS MASIVAS + ANT" xfId="264"/>
    <cellStyle name="Millares_10 AVERIAS MASIVAS + ANT" xfId="265"/>
    <cellStyle name="Milliers [0]_!!!GO" xfId="266"/>
    <cellStyle name="Milliers_!!!GO" xfId="267"/>
    <cellStyle name="Moneda [0]_10 AVERIAS MASIVAS + ANT" xfId="268"/>
    <cellStyle name="Moneda_10 AVERIAS MASIVAS + ANT" xfId="269"/>
    <cellStyle name="Monétaire [0]_!!!GO" xfId="270"/>
    <cellStyle name="Monétaire_!!!GO" xfId="271"/>
    <cellStyle name="Monetario" xfId="272"/>
    <cellStyle name="Multiple" xfId="273"/>
    <cellStyle name="Multiple [0]" xfId="274"/>
    <cellStyle name="Multiple [1]" xfId="275"/>
    <cellStyle name="Multiple_Book2" xfId="276"/>
    <cellStyle name="Neutral" xfId="277"/>
    <cellStyle name="new_section" xfId="278"/>
    <cellStyle name="no dec" xfId="279"/>
    <cellStyle name="Normal - Style1" xfId="280"/>
    <cellStyle name="NorV_x0002_Ã_x0012_ ìÀ _x0012_" xfId="281"/>
    <cellStyle name="Note" xfId="282"/>
    <cellStyle name="Notiz" xfId="283"/>
    <cellStyle name="Notiz 2" xfId="284"/>
    <cellStyle name="nplosion" xfId="285"/>
    <cellStyle name="Number_no_line" xfId="286"/>
    <cellStyle name="nVision" xfId="287"/>
    <cellStyle name="Œ…‹æØ‚è [0.00]_Region Orders (2)" xfId="288"/>
    <cellStyle name="Œ…‹æØ‚è_Region Orders (2)" xfId="289"/>
    <cellStyle name="Output" xfId="290"/>
    <cellStyle name="Page Heading" xfId="291"/>
    <cellStyle name="Page Heading Large" xfId="292"/>
    <cellStyle name="Page Heading Small" xfId="293"/>
    <cellStyle name="per.style" xfId="294"/>
    <cellStyle name="Percent" xfId="295"/>
    <cellStyle name="Percent (0)" xfId="296"/>
    <cellStyle name="Percent (LTV, DSC)" xfId="297"/>
    <cellStyle name="Percent (LTV, DSC) 2" xfId="298"/>
    <cellStyle name="Percent [0]" xfId="299"/>
    <cellStyle name="Percent [1]" xfId="300"/>
    <cellStyle name="Percent [2]" xfId="301"/>
    <cellStyle name="Percent Hard" xfId="302"/>
    <cellStyle name="Pool/Single" xfId="303"/>
    <cellStyle name="Pool/Single 2" xfId="304"/>
    <cellStyle name="Porcentaje" xfId="305"/>
    <cellStyle name="pricing" xfId="306"/>
    <cellStyle name="PSChar" xfId="307"/>
    <cellStyle name="PSChar 2" xfId="308"/>
    <cellStyle name="PSDate" xfId="309"/>
    <cellStyle name="PSDate 2" xfId="310"/>
    <cellStyle name="PSDec" xfId="311"/>
    <cellStyle name="PSDec 2" xfId="312"/>
    <cellStyle name="PSHeading" xfId="313"/>
    <cellStyle name="PSInt" xfId="314"/>
    <cellStyle name="PSInt 2" xfId="315"/>
    <cellStyle name="PSSpacer" xfId="316"/>
    <cellStyle name="PSSpacer 2" xfId="317"/>
    <cellStyle name="R01A" xfId="318"/>
    <cellStyle name="R01B" xfId="319"/>
    <cellStyle name="R02A" xfId="320"/>
    <cellStyle name="Red Text" xfId="321"/>
    <cellStyle name="RevList" xfId="322"/>
    <cellStyle name="RM" xfId="323"/>
    <cellStyle name="row_bold_line" xfId="324"/>
    <cellStyle name="Row_Number" xfId="325"/>
    <cellStyle name="Row_Number 2" xfId="326"/>
    <cellStyle name="Schlecht" xfId="327"/>
    <cellStyle name="Shaded" xfId="328"/>
    <cellStyle name="Size" xfId="329"/>
    <cellStyle name="Size 2" xfId="330"/>
    <cellStyle name="Source" xfId="331"/>
    <cellStyle name="Source 2" xfId="332"/>
    <cellStyle name="Status" xfId="333"/>
    <cellStyle name="Status 2" xfId="334"/>
    <cellStyle name="Stil 1" xfId="335"/>
    <cellStyle name="Stil 1 2" xfId="336"/>
    <cellStyle name="Subtotal" xfId="337"/>
    <cellStyle name="Subtotal 2" xfId="338"/>
    <cellStyle name="superscript" xfId="339"/>
    <cellStyle name="Tabellentext" xfId="340"/>
    <cellStyle name="Table Col Head" xfId="341"/>
    <cellStyle name="Table Sub Head" xfId="342"/>
    <cellStyle name="Table Title" xfId="343"/>
    <cellStyle name="Table Title 2" xfId="344"/>
    <cellStyle name="Table Units" xfId="345"/>
    <cellStyle name="table_body_text" xfId="346"/>
    <cellStyle name="Term" xfId="347"/>
    <cellStyle name="Term 2" xfId="348"/>
    <cellStyle name="Text_no_line" xfId="349"/>
    <cellStyle name="Tickmark" xfId="350"/>
    <cellStyle name="Title" xfId="351"/>
    <cellStyle name="TopGrey" xfId="352"/>
    <cellStyle name="Total" xfId="353"/>
    <cellStyle name="Überschrift" xfId="354"/>
    <cellStyle name="Überschrift 1" xfId="355"/>
    <cellStyle name="Überschrift 2" xfId="356"/>
    <cellStyle name="Überschrift 3" xfId="357"/>
    <cellStyle name="Überschrift 4" xfId="358"/>
    <cellStyle name="Undefiniert" xfId="359"/>
    <cellStyle name="Undefiniert 2" xfId="360"/>
    <cellStyle name="Verknüpfte Zelle" xfId="361"/>
    <cellStyle name="Warnender Text" xfId="362"/>
    <cellStyle name="Warning Text" xfId="363"/>
    <cellStyle name="Year" xfId="364"/>
    <cellStyle name="Zelle überprüfen" xfId="365"/>
    <cellStyle name="標準_Book4" xfId="366"/>
  </cellStyles>
  <dxfs count="43"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  <dxf>
      <fill>
        <patternFill>
          <bgColor indexed="3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AL39" sqref="AL39"/>
      <selection pane="topRight" activeCell="AL39" sqref="AL39"/>
      <selection pane="bottomLeft" activeCell="AL39" sqref="AL39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19" width="11.57421875" style="1" customWidth="1"/>
    <col min="20" max="16384" width="1.7109375" style="1" customWidth="1"/>
  </cols>
  <sheetData>
    <row r="1" spans="1:19" ht="21.75" customHeight="1">
      <c r="A1" s="2"/>
      <c r="B1" s="406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7.25" customHeight="1">
      <c r="A6" s="7"/>
      <c r="B6" s="13" t="s">
        <v>95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7.25" customHeight="1">
      <c r="A7" s="7"/>
      <c r="B7" s="14" t="s">
        <v>7</v>
      </c>
      <c r="C7" s="95">
        <v>8536</v>
      </c>
      <c r="D7" s="253">
        <v>6891</v>
      </c>
      <c r="E7" s="95">
        <v>1947</v>
      </c>
      <c r="F7" s="95">
        <v>1202</v>
      </c>
      <c r="G7" s="95">
        <v>1716</v>
      </c>
      <c r="H7" s="95">
        <v>1676</v>
      </c>
      <c r="I7" s="309">
        <f>SUM(E7:H7)</f>
        <v>6541</v>
      </c>
      <c r="J7" s="95">
        <v>1753</v>
      </c>
      <c r="K7" s="95">
        <v>1377</v>
      </c>
      <c r="L7" s="95">
        <v>1646</v>
      </c>
      <c r="M7" s="95">
        <v>1657</v>
      </c>
      <c r="N7" s="309">
        <f>SUM(J7:M7)</f>
        <v>6433</v>
      </c>
      <c r="O7" s="253">
        <v>1884</v>
      </c>
      <c r="P7" s="253">
        <v>1614</v>
      </c>
      <c r="Q7" s="253">
        <v>1712</v>
      </c>
      <c r="R7" s="253">
        <v>1940</v>
      </c>
      <c r="S7" s="309">
        <f aca="true" t="shared" si="0" ref="S7:S28">SUM(O7:R7)</f>
        <v>7150</v>
      </c>
    </row>
    <row r="8" spans="1:19" s="18" customFormat="1" ht="17.25" customHeight="1">
      <c r="A8" s="7"/>
      <c r="B8" s="16" t="s">
        <v>8</v>
      </c>
      <c r="C8" s="96">
        <v>14812</v>
      </c>
      <c r="D8" s="254">
        <v>13750</v>
      </c>
      <c r="E8" s="96">
        <v>3407</v>
      </c>
      <c r="F8" s="96">
        <v>3586</v>
      </c>
      <c r="G8" s="96">
        <v>3258</v>
      </c>
      <c r="H8" s="96">
        <v>3827</v>
      </c>
      <c r="I8" s="48">
        <f>SUM(E8:H8)</f>
        <v>14078</v>
      </c>
      <c r="J8" s="96">
        <v>3671</v>
      </c>
      <c r="K8" s="96">
        <v>3463</v>
      </c>
      <c r="L8" s="96">
        <v>3061</v>
      </c>
      <c r="M8" s="96">
        <v>2757</v>
      </c>
      <c r="N8" s="48">
        <f>SUM(J8:M8)</f>
        <v>12952</v>
      </c>
      <c r="O8" s="254">
        <v>3172</v>
      </c>
      <c r="P8" s="254">
        <v>3130</v>
      </c>
      <c r="Q8" s="254">
        <v>3224</v>
      </c>
      <c r="R8" s="254">
        <v>3547</v>
      </c>
      <c r="S8" s="48">
        <f t="shared" si="0"/>
        <v>13073</v>
      </c>
    </row>
    <row r="9" spans="1:19" s="18" customFormat="1" ht="17.25" customHeight="1">
      <c r="A9" s="7"/>
      <c r="B9" s="16" t="s">
        <v>9</v>
      </c>
      <c r="C9" s="96">
        <v>-9880</v>
      </c>
      <c r="D9" s="254">
        <v>12151</v>
      </c>
      <c r="E9" s="96">
        <v>3452</v>
      </c>
      <c r="F9" s="96">
        <v>3628</v>
      </c>
      <c r="G9" s="96">
        <v>943</v>
      </c>
      <c r="H9" s="96">
        <v>1315</v>
      </c>
      <c r="I9" s="48">
        <f aca="true" t="shared" si="1" ref="I9:I28">SUM(E9:H9)</f>
        <v>9338</v>
      </c>
      <c r="J9" s="96">
        <v>2011</v>
      </c>
      <c r="K9" s="96">
        <v>1116</v>
      </c>
      <c r="L9" s="96">
        <v>1920</v>
      </c>
      <c r="M9" s="96">
        <v>-27</v>
      </c>
      <c r="N9" s="48">
        <f>SUM(J9:M9)</f>
        <v>5020</v>
      </c>
      <c r="O9" s="254">
        <v>189</v>
      </c>
      <c r="P9" s="254">
        <v>1156</v>
      </c>
      <c r="Q9" s="254">
        <v>-3</v>
      </c>
      <c r="R9" s="254">
        <v>-147</v>
      </c>
      <c r="S9" s="48">
        <f t="shared" si="0"/>
        <v>1195</v>
      </c>
    </row>
    <row r="10" spans="1:19" s="18" customFormat="1" ht="17.25" customHeight="1">
      <c r="A10" s="7"/>
      <c r="B10" s="19" t="s">
        <v>10</v>
      </c>
      <c r="C10" s="97">
        <v>-4200</v>
      </c>
      <c r="D10" s="255">
        <v>502</v>
      </c>
      <c r="E10" s="97">
        <v>207</v>
      </c>
      <c r="F10" s="97">
        <v>123</v>
      </c>
      <c r="G10" s="97">
        <v>649</v>
      </c>
      <c r="H10" s="97">
        <v>450</v>
      </c>
      <c r="I10" s="46">
        <f t="shared" si="1"/>
        <v>1429</v>
      </c>
      <c r="J10" s="97">
        <v>721</v>
      </c>
      <c r="K10" s="97">
        <v>936</v>
      </c>
      <c r="L10" s="97">
        <v>62</v>
      </c>
      <c r="M10" s="97">
        <v>101</v>
      </c>
      <c r="N10" s="46">
        <f>SUM(J10:M10)</f>
        <v>1820</v>
      </c>
      <c r="O10" s="255">
        <v>802</v>
      </c>
      <c r="P10" s="255">
        <v>375</v>
      </c>
      <c r="Q10" s="255">
        <v>911</v>
      </c>
      <c r="R10" s="255">
        <v>460</v>
      </c>
      <c r="S10" s="46">
        <f t="shared" si="0"/>
        <v>2548</v>
      </c>
    </row>
    <row r="11" spans="1:19" ht="17.25" customHeight="1" thickBot="1">
      <c r="A11" s="7"/>
      <c r="B11" s="21" t="s">
        <v>11</v>
      </c>
      <c r="C11" s="40">
        <f aca="true" t="shared" si="2" ref="C11:H11">SUM(C7:C10)</f>
        <v>9268</v>
      </c>
      <c r="D11" s="40">
        <f t="shared" si="2"/>
        <v>33294</v>
      </c>
      <c r="E11" s="40">
        <f t="shared" si="2"/>
        <v>9013</v>
      </c>
      <c r="F11" s="40">
        <f t="shared" si="2"/>
        <v>8539</v>
      </c>
      <c r="G11" s="40">
        <f t="shared" si="2"/>
        <v>6566</v>
      </c>
      <c r="H11" s="40">
        <f t="shared" si="2"/>
        <v>7268</v>
      </c>
      <c r="I11" s="40">
        <f t="shared" si="1"/>
        <v>31386</v>
      </c>
      <c r="J11" s="40">
        <f>SUM(J7:J10)</f>
        <v>8156</v>
      </c>
      <c r="K11" s="40">
        <f>SUM(K7:K10)</f>
        <v>6892</v>
      </c>
      <c r="L11" s="40">
        <f>SUM(L7:L10)</f>
        <v>6689</v>
      </c>
      <c r="M11" s="40">
        <f>SUM(M7:M10)</f>
        <v>4488</v>
      </c>
      <c r="N11" s="40">
        <f>SUM(J11:M11)</f>
        <v>26225</v>
      </c>
      <c r="O11" s="40">
        <f>SUM(O7:O10)</f>
        <v>6047</v>
      </c>
      <c r="P11" s="40">
        <f>SUM(P7:P10)</f>
        <v>6275</v>
      </c>
      <c r="Q11" s="40">
        <f>SUM(Q7:Q10)</f>
        <v>5844</v>
      </c>
      <c r="R11" s="40">
        <f>SUM(R7:R10)</f>
        <v>5800</v>
      </c>
      <c r="S11" s="40">
        <f t="shared" si="0"/>
        <v>23966</v>
      </c>
    </row>
    <row r="12" spans="1:19" ht="17.25" customHeight="1" thickBot="1">
      <c r="A12" s="7"/>
      <c r="B12" s="23" t="s">
        <v>12</v>
      </c>
      <c r="C12" s="99">
        <v>813</v>
      </c>
      <c r="D12" s="99">
        <v>506</v>
      </c>
      <c r="E12" s="99">
        <v>-50</v>
      </c>
      <c r="F12" s="99">
        <v>20</v>
      </c>
      <c r="G12" s="99">
        <v>-26</v>
      </c>
      <c r="H12" s="99">
        <v>-23</v>
      </c>
      <c r="I12" s="41">
        <f>SUM(E12:H12)</f>
        <v>-79</v>
      </c>
      <c r="J12" s="99">
        <v>-7</v>
      </c>
      <c r="K12" s="99">
        <v>13</v>
      </c>
      <c r="L12" s="99">
        <v>84</v>
      </c>
      <c r="M12" s="99">
        <v>97</v>
      </c>
      <c r="N12" s="41">
        <f aca="true" t="shared" si="3" ref="N12:N28">SUM(J12:M12)</f>
        <v>187</v>
      </c>
      <c r="O12" s="256">
        <v>34</v>
      </c>
      <c r="P12" s="256">
        <v>25</v>
      </c>
      <c r="Q12" s="256">
        <v>41</v>
      </c>
      <c r="R12" s="256">
        <v>70</v>
      </c>
      <c r="S12" s="41">
        <f t="shared" si="0"/>
        <v>170</v>
      </c>
    </row>
    <row r="13" spans="1:19" ht="17.25" customHeight="1">
      <c r="A13" s="7"/>
      <c r="B13" s="19" t="s">
        <v>13</v>
      </c>
      <c r="C13" s="257">
        <v>13254</v>
      </c>
      <c r="D13" s="257">
        <v>15013</v>
      </c>
      <c r="E13" s="100">
        <v>3893</v>
      </c>
      <c r="F13" s="100">
        <v>3980</v>
      </c>
      <c r="G13" s="100">
        <v>3355</v>
      </c>
      <c r="H13" s="100">
        <v>3371</v>
      </c>
      <c r="I13" s="42">
        <f t="shared" si="1"/>
        <v>14599</v>
      </c>
      <c r="J13" s="100">
        <v>4029</v>
      </c>
      <c r="K13" s="100">
        <v>3096</v>
      </c>
      <c r="L13" s="100">
        <v>3067</v>
      </c>
      <c r="M13" s="100">
        <v>3021</v>
      </c>
      <c r="N13" s="42">
        <f t="shared" si="3"/>
        <v>13213</v>
      </c>
      <c r="O13" s="257">
        <v>3711</v>
      </c>
      <c r="P13" s="257">
        <v>3005</v>
      </c>
      <c r="Q13" s="257">
        <v>3094</v>
      </c>
      <c r="R13" s="257">
        <v>2720</v>
      </c>
      <c r="S13" s="42">
        <f t="shared" si="0"/>
        <v>12530</v>
      </c>
    </row>
    <row r="14" spans="1:19" s="18" customFormat="1" ht="17.25" customHeight="1">
      <c r="A14" s="7"/>
      <c r="B14" s="89" t="s">
        <v>14</v>
      </c>
      <c r="C14" s="258">
        <v>7809</v>
      </c>
      <c r="D14" s="258">
        <v>7701</v>
      </c>
      <c r="E14" s="113">
        <v>1675</v>
      </c>
      <c r="F14" s="113">
        <v>2061</v>
      </c>
      <c r="G14" s="113">
        <v>1752</v>
      </c>
      <c r="H14" s="113">
        <v>1743</v>
      </c>
      <c r="I14" s="90">
        <f t="shared" si="1"/>
        <v>7231</v>
      </c>
      <c r="J14" s="113">
        <v>1632</v>
      </c>
      <c r="K14" s="113">
        <v>1652</v>
      </c>
      <c r="L14" s="113">
        <v>2209</v>
      </c>
      <c r="M14" s="113">
        <v>1879</v>
      </c>
      <c r="N14" s="90">
        <f t="shared" si="3"/>
        <v>7372</v>
      </c>
      <c r="O14" s="258">
        <v>1653</v>
      </c>
      <c r="P14" s="258">
        <v>1673</v>
      </c>
      <c r="Q14" s="258">
        <v>1862</v>
      </c>
      <c r="R14" s="258">
        <v>2122</v>
      </c>
      <c r="S14" s="90">
        <f t="shared" si="0"/>
        <v>7310</v>
      </c>
    </row>
    <row r="15" spans="1:19" ht="17.25" customHeight="1">
      <c r="A15" s="7"/>
      <c r="B15" s="130" t="s">
        <v>15</v>
      </c>
      <c r="C15" s="259">
        <v>2294</v>
      </c>
      <c r="D15" s="259">
        <v>1997</v>
      </c>
      <c r="E15" s="308">
        <v>520</v>
      </c>
      <c r="F15" s="308">
        <v>569</v>
      </c>
      <c r="G15" s="308">
        <v>484</v>
      </c>
      <c r="H15" s="308">
        <v>575</v>
      </c>
      <c r="I15" s="310">
        <f t="shared" si="1"/>
        <v>2148</v>
      </c>
      <c r="J15" s="308">
        <v>536</v>
      </c>
      <c r="K15" s="308">
        <v>491</v>
      </c>
      <c r="L15" s="308">
        <v>485</v>
      </c>
      <c r="M15" s="308">
        <v>480</v>
      </c>
      <c r="N15" s="310">
        <f>SUM(J15:M15)</f>
        <v>1992</v>
      </c>
      <c r="O15" s="259">
        <v>451</v>
      </c>
      <c r="P15" s="259">
        <v>441</v>
      </c>
      <c r="Q15" s="259">
        <v>427</v>
      </c>
      <c r="R15" s="259">
        <v>456</v>
      </c>
      <c r="S15" s="310">
        <f t="shared" si="0"/>
        <v>1775</v>
      </c>
    </row>
    <row r="16" spans="1:19" s="18" customFormat="1" ht="17.25" customHeight="1">
      <c r="A16" s="7"/>
      <c r="B16" s="19" t="s">
        <v>16</v>
      </c>
      <c r="C16" s="46">
        <f>+C14+C15</f>
        <v>10103</v>
      </c>
      <c r="D16" s="46">
        <f>+D14+D15</f>
        <v>9698</v>
      </c>
      <c r="E16" s="46">
        <f>+E14+E15</f>
        <v>2195</v>
      </c>
      <c r="F16" s="46">
        <f>+F14+F15</f>
        <v>2630</v>
      </c>
      <c r="G16" s="46">
        <f>+G14+G15</f>
        <v>2236</v>
      </c>
      <c r="H16" s="46">
        <v>2318</v>
      </c>
      <c r="I16" s="46">
        <f t="shared" si="1"/>
        <v>9379</v>
      </c>
      <c r="J16" s="46">
        <f>+J14+J15</f>
        <v>2168</v>
      </c>
      <c r="K16" s="46">
        <f>SUM(K14:K15)</f>
        <v>2143</v>
      </c>
      <c r="L16" s="46">
        <f>SUM(L14:L15)</f>
        <v>2694</v>
      </c>
      <c r="M16" s="46">
        <f>SUM(M14:M15)</f>
        <v>2359</v>
      </c>
      <c r="N16" s="46">
        <f>SUM(J16:M16)</f>
        <v>9364</v>
      </c>
      <c r="O16" s="46">
        <f>SUM(O14+O15)</f>
        <v>2104</v>
      </c>
      <c r="P16" s="46">
        <f>SUM(P14+P15)</f>
        <v>2114</v>
      </c>
      <c r="Q16" s="46">
        <f>SUM(Q14+Q15)</f>
        <v>2289</v>
      </c>
      <c r="R16" s="46">
        <f>SUM(R14+R15)</f>
        <v>2578</v>
      </c>
      <c r="S16" s="46">
        <f t="shared" si="0"/>
        <v>9085</v>
      </c>
    </row>
    <row r="17" spans="1:19" ht="17.25" customHeight="1" thickBot="1">
      <c r="A17" s="7"/>
      <c r="B17" s="26" t="s">
        <v>17</v>
      </c>
      <c r="C17" s="40">
        <f aca="true" t="shared" si="4" ref="C17:H17">+C13+C16</f>
        <v>23357</v>
      </c>
      <c r="D17" s="40">
        <f t="shared" si="4"/>
        <v>24711</v>
      </c>
      <c r="E17" s="40">
        <f t="shared" si="4"/>
        <v>6088</v>
      </c>
      <c r="F17" s="40">
        <f t="shared" si="4"/>
        <v>6610</v>
      </c>
      <c r="G17" s="40">
        <f t="shared" si="4"/>
        <v>5591</v>
      </c>
      <c r="H17" s="40">
        <f t="shared" si="4"/>
        <v>5689</v>
      </c>
      <c r="I17" s="40">
        <f t="shared" si="1"/>
        <v>23978</v>
      </c>
      <c r="J17" s="40">
        <f>+J13+J16</f>
        <v>6197</v>
      </c>
      <c r="K17" s="40">
        <f>+K13+K16</f>
        <v>5239</v>
      </c>
      <c r="L17" s="40">
        <f>+L13+L16</f>
        <v>5761</v>
      </c>
      <c r="M17" s="40">
        <f>+M13+M16</f>
        <v>5380</v>
      </c>
      <c r="N17" s="40">
        <f t="shared" si="3"/>
        <v>22577</v>
      </c>
      <c r="O17" s="40">
        <f>SUM(O13+O16)</f>
        <v>5815</v>
      </c>
      <c r="P17" s="40">
        <f>SUM(P13+P16)</f>
        <v>5119</v>
      </c>
      <c r="Q17" s="40">
        <f>SUM(Q13+Q16)</f>
        <v>5383</v>
      </c>
      <c r="R17" s="40">
        <f>SUM(R13+R16)</f>
        <v>5298</v>
      </c>
      <c r="S17" s="40">
        <f t="shared" si="0"/>
        <v>21615</v>
      </c>
    </row>
    <row r="18" spans="1:19" ht="26.25" thickBot="1">
      <c r="A18" s="7"/>
      <c r="B18" s="115" t="s">
        <v>81</v>
      </c>
      <c r="C18" s="41">
        <f aca="true" t="shared" si="5" ref="C18:H18">+C11-C12-C17</f>
        <v>-14902</v>
      </c>
      <c r="D18" s="41">
        <f t="shared" si="5"/>
        <v>8077</v>
      </c>
      <c r="E18" s="41">
        <f t="shared" si="5"/>
        <v>2975</v>
      </c>
      <c r="F18" s="41">
        <f t="shared" si="5"/>
        <v>1909</v>
      </c>
      <c r="G18" s="41">
        <f t="shared" si="5"/>
        <v>1001</v>
      </c>
      <c r="H18" s="41">
        <f t="shared" si="5"/>
        <v>1602</v>
      </c>
      <c r="I18" s="41">
        <f t="shared" si="1"/>
        <v>7487</v>
      </c>
      <c r="J18" s="41">
        <f>+J11-J12-J17</f>
        <v>1966</v>
      </c>
      <c r="K18" s="41">
        <f>+K11-K12-K17</f>
        <v>1640</v>
      </c>
      <c r="L18" s="41">
        <f>+L11-L12-L17</f>
        <v>844</v>
      </c>
      <c r="M18" s="41">
        <f>+M11-M12-M17</f>
        <v>-989</v>
      </c>
      <c r="N18" s="41">
        <f>SUM(J18:M18)</f>
        <v>3461</v>
      </c>
      <c r="O18" s="41">
        <f>+O11-O12-O17</f>
        <v>198</v>
      </c>
      <c r="P18" s="41">
        <f>+P11-P12-P17</f>
        <v>1131</v>
      </c>
      <c r="Q18" s="41">
        <f>+Q11-Q12-Q17</f>
        <v>420</v>
      </c>
      <c r="R18" s="41">
        <f>+R11-R12-R17</f>
        <v>432</v>
      </c>
      <c r="S18" s="41">
        <f t="shared" si="0"/>
        <v>2181</v>
      </c>
    </row>
    <row r="19" spans="1:19" s="18" customFormat="1" ht="21.75" customHeight="1">
      <c r="A19" s="7"/>
      <c r="B19" s="19" t="s">
        <v>79</v>
      </c>
      <c r="C19" s="257">
        <v>-4596</v>
      </c>
      <c r="D19" s="257">
        <v>1835</v>
      </c>
      <c r="E19" s="100">
        <v>839</v>
      </c>
      <c r="F19" s="100">
        <v>187</v>
      </c>
      <c r="G19" s="100">
        <v>117</v>
      </c>
      <c r="H19" s="100">
        <v>405</v>
      </c>
      <c r="I19" s="42">
        <f t="shared" si="1"/>
        <v>1548</v>
      </c>
      <c r="J19" s="100">
        <v>465</v>
      </c>
      <c r="K19" s="100">
        <v>271</v>
      </c>
      <c r="L19" s="100">
        <v>332</v>
      </c>
      <c r="M19" s="100">
        <v>-397</v>
      </c>
      <c r="N19" s="42">
        <f>SUM(J19:M19)</f>
        <v>671</v>
      </c>
      <c r="O19" s="257">
        <v>-16</v>
      </c>
      <c r="P19" s="257">
        <v>311</v>
      </c>
      <c r="Q19" s="257">
        <v>101</v>
      </c>
      <c r="R19" s="257">
        <v>100</v>
      </c>
      <c r="S19" s="42">
        <f t="shared" si="0"/>
        <v>496</v>
      </c>
    </row>
    <row r="20" spans="1:19" ht="29.25" customHeight="1" thickBot="1">
      <c r="A20" s="7"/>
      <c r="B20" s="116" t="s">
        <v>82</v>
      </c>
      <c r="C20" s="40">
        <f aca="true" t="shared" si="6" ref="C20:H20">+C18-C19</f>
        <v>-10306</v>
      </c>
      <c r="D20" s="40">
        <f t="shared" si="6"/>
        <v>6242</v>
      </c>
      <c r="E20" s="40">
        <f t="shared" si="6"/>
        <v>2136</v>
      </c>
      <c r="F20" s="40">
        <f t="shared" si="6"/>
        <v>1722</v>
      </c>
      <c r="G20" s="40">
        <f t="shared" si="6"/>
        <v>884</v>
      </c>
      <c r="H20" s="40">
        <f t="shared" si="6"/>
        <v>1197</v>
      </c>
      <c r="I20" s="40">
        <f t="shared" si="1"/>
        <v>5939</v>
      </c>
      <c r="J20" s="40">
        <f>+J18-J19</f>
        <v>1501</v>
      </c>
      <c r="K20" s="40">
        <f>+K18-K19</f>
        <v>1369</v>
      </c>
      <c r="L20" s="40">
        <f>+L18-L19</f>
        <v>512</v>
      </c>
      <c r="M20" s="40">
        <f>+M18-M19</f>
        <v>-592</v>
      </c>
      <c r="N20" s="40">
        <f t="shared" si="3"/>
        <v>2790</v>
      </c>
      <c r="O20" s="40">
        <f>+O18-O19</f>
        <v>214</v>
      </c>
      <c r="P20" s="40">
        <f>+P18-P19</f>
        <v>820</v>
      </c>
      <c r="Q20" s="40">
        <f>+Q18-Q19</f>
        <v>319</v>
      </c>
      <c r="R20" s="40">
        <f>+R18-R19</f>
        <v>332</v>
      </c>
      <c r="S20" s="40">
        <f t="shared" si="0"/>
        <v>1685</v>
      </c>
    </row>
    <row r="21" spans="1:19" ht="17.25" customHeight="1">
      <c r="A21" s="7"/>
      <c r="B21" s="19" t="s">
        <v>85</v>
      </c>
      <c r="C21" s="274">
        <v>-531</v>
      </c>
      <c r="D21" s="255">
        <v>169</v>
      </c>
      <c r="E21" s="97">
        <v>-19</v>
      </c>
      <c r="F21" s="97">
        <v>0</v>
      </c>
      <c r="G21" s="97">
        <v>0</v>
      </c>
      <c r="H21" s="97">
        <v>0</v>
      </c>
      <c r="I21" s="46">
        <f t="shared" si="1"/>
        <v>-19</v>
      </c>
      <c r="J21" s="97">
        <v>0</v>
      </c>
      <c r="K21" s="97">
        <v>0</v>
      </c>
      <c r="L21" s="97">
        <v>0</v>
      </c>
      <c r="M21" s="97">
        <v>0</v>
      </c>
      <c r="N21" s="46">
        <f t="shared" si="3"/>
        <v>0</v>
      </c>
      <c r="O21" s="255">
        <v>0</v>
      </c>
      <c r="P21" s="255">
        <v>0</v>
      </c>
      <c r="Q21" s="255">
        <v>0</v>
      </c>
      <c r="R21" s="255">
        <v>0</v>
      </c>
      <c r="S21" s="46">
        <f t="shared" si="0"/>
        <v>0</v>
      </c>
    </row>
    <row r="22" spans="1:19" s="18" customFormat="1" ht="17.25" customHeight="1" hidden="1" outlineLevel="1">
      <c r="A22" s="7"/>
      <c r="B22" s="16" t="s">
        <v>20</v>
      </c>
      <c r="C22" s="283">
        <v>0</v>
      </c>
      <c r="D22" s="260">
        <v>0</v>
      </c>
      <c r="E22" s="108">
        <v>0</v>
      </c>
      <c r="F22" s="108">
        <v>0</v>
      </c>
      <c r="G22" s="108">
        <v>0</v>
      </c>
      <c r="H22" s="108">
        <v>0</v>
      </c>
      <c r="I22" s="49">
        <f t="shared" si="1"/>
        <v>0</v>
      </c>
      <c r="J22" s="108">
        <v>0</v>
      </c>
      <c r="K22" s="108">
        <v>0</v>
      </c>
      <c r="L22" s="108">
        <v>0</v>
      </c>
      <c r="M22" s="108">
        <v>0</v>
      </c>
      <c r="N22" s="49">
        <f t="shared" si="3"/>
        <v>0</v>
      </c>
      <c r="O22" s="260">
        <v>0</v>
      </c>
      <c r="P22" s="260">
        <v>0</v>
      </c>
      <c r="Q22" s="260">
        <v>0</v>
      </c>
      <c r="R22" s="260">
        <v>0</v>
      </c>
      <c r="S22" s="49">
        <f t="shared" si="0"/>
        <v>0</v>
      </c>
    </row>
    <row r="23" spans="1:19" s="18" customFormat="1" ht="17.25" customHeight="1" collapsed="1" thickBot="1">
      <c r="A23" s="7"/>
      <c r="B23" s="26" t="s">
        <v>78</v>
      </c>
      <c r="C23" s="40">
        <f aca="true" t="shared" si="7" ref="C23:H23">SUM(C20:C22)</f>
        <v>-10837</v>
      </c>
      <c r="D23" s="40">
        <f t="shared" si="7"/>
        <v>6411</v>
      </c>
      <c r="E23" s="40">
        <f t="shared" si="7"/>
        <v>2117</v>
      </c>
      <c r="F23" s="40">
        <f t="shared" si="7"/>
        <v>1722</v>
      </c>
      <c r="G23" s="40">
        <f t="shared" si="7"/>
        <v>884</v>
      </c>
      <c r="H23" s="40">
        <f t="shared" si="7"/>
        <v>1197</v>
      </c>
      <c r="I23" s="40">
        <f t="shared" si="1"/>
        <v>5920</v>
      </c>
      <c r="J23" s="40">
        <f>SUM(J20:J22)</f>
        <v>1501</v>
      </c>
      <c r="K23" s="40">
        <f>SUM(K20:K22)</f>
        <v>1369</v>
      </c>
      <c r="L23" s="40">
        <f>SUM(L20:L22)</f>
        <v>512</v>
      </c>
      <c r="M23" s="40">
        <f>SUM(M20:M22)</f>
        <v>-592</v>
      </c>
      <c r="N23" s="40">
        <f t="shared" si="3"/>
        <v>2790</v>
      </c>
      <c r="O23" s="40">
        <f>SUM(O20:O22)</f>
        <v>214</v>
      </c>
      <c r="P23" s="40">
        <f>SUM(P20:P22)</f>
        <v>820</v>
      </c>
      <c r="Q23" s="40">
        <f>SUM(Q20:Q22)</f>
        <v>319</v>
      </c>
      <c r="R23" s="40">
        <f>SUM(R20:R22)</f>
        <v>332</v>
      </c>
      <c r="S23" s="40">
        <f t="shared" si="0"/>
        <v>1685</v>
      </c>
    </row>
    <row r="24" spans="1:19" s="18" customFormat="1" ht="32.25" customHeight="1">
      <c r="A24" s="7"/>
      <c r="B24" s="133" t="s">
        <v>127</v>
      </c>
      <c r="C24" s="102">
        <v>-2619</v>
      </c>
      <c r="D24" s="261">
        <v>-313</v>
      </c>
      <c r="E24" s="102">
        <v>62</v>
      </c>
      <c r="F24" s="102">
        <v>129</v>
      </c>
      <c r="G24" s="102">
        <v>275</v>
      </c>
      <c r="H24" s="102">
        <v>356</v>
      </c>
      <c r="I24" s="44">
        <f t="shared" si="1"/>
        <v>822</v>
      </c>
      <c r="J24" s="102">
        <v>362</v>
      </c>
      <c r="K24" s="102">
        <v>601</v>
      </c>
      <c r="L24" s="102">
        <v>-171</v>
      </c>
      <c r="M24" s="102">
        <v>45</v>
      </c>
      <c r="N24" s="44">
        <f t="shared" si="3"/>
        <v>837</v>
      </c>
      <c r="O24" s="261">
        <v>170</v>
      </c>
      <c r="P24" s="261">
        <v>32</v>
      </c>
      <c r="Q24" s="261">
        <v>65</v>
      </c>
      <c r="R24" s="261">
        <v>69</v>
      </c>
      <c r="S24" s="44">
        <f t="shared" si="0"/>
        <v>336</v>
      </c>
    </row>
    <row r="25" spans="1:19" s="18" customFormat="1" ht="31.5" customHeight="1" thickBot="1">
      <c r="A25" s="7"/>
      <c r="B25" s="39" t="s">
        <v>102</v>
      </c>
      <c r="C25" s="40">
        <f aca="true" t="shared" si="8" ref="C25:H25">+C23-C24</f>
        <v>-8218</v>
      </c>
      <c r="D25" s="40">
        <f t="shared" si="8"/>
        <v>6724</v>
      </c>
      <c r="E25" s="40">
        <f t="shared" si="8"/>
        <v>2055</v>
      </c>
      <c r="F25" s="40">
        <f t="shared" si="8"/>
        <v>1593</v>
      </c>
      <c r="G25" s="40">
        <f t="shared" si="8"/>
        <v>609</v>
      </c>
      <c r="H25" s="40">
        <f t="shared" si="8"/>
        <v>841</v>
      </c>
      <c r="I25" s="40">
        <f t="shared" si="1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>SUM(J25:M25)</f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0"/>
        <v>1349</v>
      </c>
    </row>
    <row r="26" spans="1:19" ht="31.5" customHeight="1">
      <c r="A26" s="7"/>
      <c r="B26" s="137" t="s">
        <v>98</v>
      </c>
      <c r="C26" s="136">
        <f aca="true" t="shared" si="9" ref="C26:H26">+C20-C24</f>
        <v>-7687</v>
      </c>
      <c r="D26" s="136">
        <f t="shared" si="9"/>
        <v>6555</v>
      </c>
      <c r="E26" s="136">
        <f t="shared" si="9"/>
        <v>2074</v>
      </c>
      <c r="F26" s="136">
        <f t="shared" si="9"/>
        <v>1593</v>
      </c>
      <c r="G26" s="136">
        <f t="shared" si="9"/>
        <v>609</v>
      </c>
      <c r="H26" s="136">
        <f t="shared" si="9"/>
        <v>841</v>
      </c>
      <c r="I26" s="136">
        <f t="shared" si="1"/>
        <v>5117</v>
      </c>
      <c r="J26" s="136">
        <f>+J20-J24</f>
        <v>1139</v>
      </c>
      <c r="K26" s="136">
        <f>+K20-K24</f>
        <v>768</v>
      </c>
      <c r="L26" s="136">
        <f>+L20-L24</f>
        <v>683</v>
      </c>
      <c r="M26" s="136">
        <f>+M20-M24</f>
        <v>-637</v>
      </c>
      <c r="N26" s="136">
        <f>SUM(J26:M26)</f>
        <v>1953</v>
      </c>
      <c r="O26" s="136">
        <f>+O20-O24</f>
        <v>44</v>
      </c>
      <c r="P26" s="136">
        <f>+P20-P24</f>
        <v>788</v>
      </c>
      <c r="Q26" s="136">
        <f>+Q20-Q24</f>
        <v>254</v>
      </c>
      <c r="R26" s="136">
        <f>+R20-R24</f>
        <v>263</v>
      </c>
      <c r="S26" s="136">
        <f t="shared" si="0"/>
        <v>1349</v>
      </c>
    </row>
    <row r="27" spans="1:19" ht="31.5" customHeight="1">
      <c r="A27" s="7"/>
      <c r="B27" s="137" t="s">
        <v>104</v>
      </c>
      <c r="C27" s="134">
        <f>+C21</f>
        <v>-531</v>
      </c>
      <c r="D27" s="134">
        <f>+D21</f>
        <v>169</v>
      </c>
      <c r="E27" s="134">
        <f aca="true" t="shared" si="10" ref="E27:H28">+E21</f>
        <v>-19</v>
      </c>
      <c r="F27" s="134">
        <f t="shared" si="10"/>
        <v>0</v>
      </c>
      <c r="G27" s="134">
        <f t="shared" si="10"/>
        <v>0</v>
      </c>
      <c r="H27" s="136">
        <f t="shared" si="10"/>
        <v>0</v>
      </c>
      <c r="I27" s="136">
        <f t="shared" si="1"/>
        <v>-19</v>
      </c>
      <c r="J27" s="136">
        <f aca="true" t="shared" si="11" ref="J27:L28">+J21</f>
        <v>0</v>
      </c>
      <c r="K27" s="136">
        <f t="shared" si="11"/>
        <v>0</v>
      </c>
      <c r="L27" s="136">
        <f t="shared" si="11"/>
        <v>0</v>
      </c>
      <c r="M27" s="136">
        <f>+M21</f>
        <v>0</v>
      </c>
      <c r="N27" s="136">
        <f t="shared" si="3"/>
        <v>0</v>
      </c>
      <c r="O27" s="262">
        <f>+O21</f>
        <v>0</v>
      </c>
      <c r="P27" s="262">
        <f>+P21</f>
        <v>0</v>
      </c>
      <c r="Q27" s="262">
        <f>+Q21</f>
        <v>0</v>
      </c>
      <c r="R27" s="262">
        <f>+R21</f>
        <v>0</v>
      </c>
      <c r="S27" s="136">
        <f t="shared" si="0"/>
        <v>0</v>
      </c>
    </row>
    <row r="28" spans="1:19" s="18" customFormat="1" ht="27.75" customHeight="1" hidden="1" outlineLevel="1" thickBot="1">
      <c r="A28" s="7"/>
      <c r="B28" s="138" t="s">
        <v>97</v>
      </c>
      <c r="C28" s="197">
        <f>+C22</f>
        <v>0</v>
      </c>
      <c r="D28" s="197">
        <v>0</v>
      </c>
      <c r="E28" s="197">
        <f t="shared" si="10"/>
        <v>0</v>
      </c>
      <c r="F28" s="197">
        <f t="shared" si="10"/>
        <v>0</v>
      </c>
      <c r="G28" s="197">
        <f t="shared" si="10"/>
        <v>0</v>
      </c>
      <c r="H28" s="197">
        <f t="shared" si="10"/>
        <v>0</v>
      </c>
      <c r="I28" s="197">
        <f t="shared" si="1"/>
        <v>0</v>
      </c>
      <c r="J28" s="197">
        <f t="shared" si="11"/>
        <v>0</v>
      </c>
      <c r="K28" s="197">
        <f t="shared" si="11"/>
        <v>0</v>
      </c>
      <c r="L28" s="197">
        <f t="shared" si="11"/>
        <v>0</v>
      </c>
      <c r="M28" s="197">
        <f>+M22</f>
        <v>0</v>
      </c>
      <c r="N28" s="197">
        <f t="shared" si="3"/>
        <v>0</v>
      </c>
      <c r="O28" s="263">
        <v>0</v>
      </c>
      <c r="P28" s="263">
        <v>0</v>
      </c>
      <c r="Q28" s="263">
        <v>0</v>
      </c>
      <c r="R28" s="263">
        <v>0</v>
      </c>
      <c r="S28" s="197">
        <f t="shared" si="0"/>
        <v>0</v>
      </c>
    </row>
    <row r="29" spans="1:19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7.25" customHeight="1">
      <c r="A30" s="7"/>
      <c r="B30" s="13" t="s">
        <v>96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7.25" customHeight="1">
      <c r="A31" s="7"/>
      <c r="B31" s="28" t="s">
        <v>36</v>
      </c>
      <c r="C31" s="51">
        <f>+C17/C11*100</f>
        <v>252</v>
      </c>
      <c r="D31" s="51">
        <f>+D17/D11*100</f>
        <v>74.2</v>
      </c>
      <c r="E31" s="51">
        <f>+E17/E11*100</f>
        <v>67.5</v>
      </c>
      <c r="F31" s="51">
        <f aca="true" t="shared" si="12" ref="F31:K31">+F17/F11*100</f>
        <v>77.4</v>
      </c>
      <c r="G31" s="51">
        <f t="shared" si="12"/>
        <v>85.2</v>
      </c>
      <c r="H31" s="51">
        <f t="shared" si="12"/>
        <v>78.3</v>
      </c>
      <c r="I31" s="51">
        <f t="shared" si="12"/>
        <v>76.4</v>
      </c>
      <c r="J31" s="51">
        <f t="shared" si="12"/>
        <v>76</v>
      </c>
      <c r="K31" s="51">
        <f t="shared" si="12"/>
        <v>76</v>
      </c>
      <c r="L31" s="51">
        <f aca="true" t="shared" si="13" ref="L31:Q31">+L17/L11*100</f>
        <v>86.1</v>
      </c>
      <c r="M31" s="51">
        <f t="shared" si="13"/>
        <v>119.9</v>
      </c>
      <c r="N31" s="51">
        <f t="shared" si="13"/>
        <v>86.1</v>
      </c>
      <c r="O31" s="51">
        <f t="shared" si="13"/>
        <v>96.2</v>
      </c>
      <c r="P31" s="51">
        <f t="shared" si="13"/>
        <v>81.6</v>
      </c>
      <c r="Q31" s="51">
        <f t="shared" si="13"/>
        <v>92.1</v>
      </c>
      <c r="R31" s="51">
        <f>+R17/R11*100</f>
        <v>91.3</v>
      </c>
      <c r="S31" s="51">
        <f>+S17/S11*100</f>
        <v>90.2</v>
      </c>
    </row>
    <row r="32" spans="1:19" ht="17.25" customHeight="1">
      <c r="A32" s="7"/>
      <c r="B32" s="28" t="s">
        <v>37</v>
      </c>
      <c r="C32" s="51">
        <f>+C18/C11*100</f>
        <v>-160.8</v>
      </c>
      <c r="D32" s="51">
        <f>+D18/D11*100</f>
        <v>24.3</v>
      </c>
      <c r="E32" s="51">
        <f>+E18/E11*100</f>
        <v>33</v>
      </c>
      <c r="F32" s="51">
        <f aca="true" t="shared" si="14" ref="F32:K32">+F18/F11*100</f>
        <v>22.4</v>
      </c>
      <c r="G32" s="51">
        <f t="shared" si="14"/>
        <v>15.2</v>
      </c>
      <c r="H32" s="51">
        <f t="shared" si="14"/>
        <v>22</v>
      </c>
      <c r="I32" s="51">
        <f t="shared" si="14"/>
        <v>23.9</v>
      </c>
      <c r="J32" s="51">
        <f t="shared" si="14"/>
        <v>24.1</v>
      </c>
      <c r="K32" s="51">
        <f t="shared" si="14"/>
        <v>23.8</v>
      </c>
      <c r="L32" s="51">
        <f aca="true" t="shared" si="15" ref="L32:Q32">+L18/L11*100</f>
        <v>12.6</v>
      </c>
      <c r="M32" s="51">
        <f t="shared" si="15"/>
        <v>-22</v>
      </c>
      <c r="N32" s="51">
        <f t="shared" si="15"/>
        <v>13.2</v>
      </c>
      <c r="O32" s="51">
        <f t="shared" si="15"/>
        <v>3.3</v>
      </c>
      <c r="P32" s="51">
        <f t="shared" si="15"/>
        <v>18</v>
      </c>
      <c r="Q32" s="51">
        <f t="shared" si="15"/>
        <v>7.2</v>
      </c>
      <c r="R32" s="51">
        <f>+R18/R11*100</f>
        <v>7.4</v>
      </c>
      <c r="S32" s="51">
        <f>+S18/S11*100</f>
        <v>9.1</v>
      </c>
    </row>
    <row r="33" spans="1:19" ht="17.25" customHeight="1">
      <c r="A33" s="7"/>
      <c r="B33" s="28" t="s">
        <v>63</v>
      </c>
      <c r="C33" s="51">
        <f>+C19/C18*100</f>
        <v>30.8</v>
      </c>
      <c r="D33" s="51">
        <f>+D19/D18*100</f>
        <v>22.7</v>
      </c>
      <c r="E33" s="51">
        <f>+E19/E18*100</f>
        <v>28.2</v>
      </c>
      <c r="F33" s="51">
        <f>+F19/F18*100</f>
        <v>9.8</v>
      </c>
      <c r="G33" s="51">
        <f>+G19/G18*100</f>
        <v>11.7</v>
      </c>
      <c r="H33" s="51">
        <f aca="true" t="shared" si="16" ref="H33:N33">+H19/H18*100</f>
        <v>25.3</v>
      </c>
      <c r="I33" s="51">
        <f t="shared" si="16"/>
        <v>20.7</v>
      </c>
      <c r="J33" s="51">
        <f>+J19/J18*100</f>
        <v>23.7</v>
      </c>
      <c r="K33" s="51">
        <f t="shared" si="16"/>
        <v>16.5</v>
      </c>
      <c r="L33" s="51">
        <f t="shared" si="16"/>
        <v>39.3</v>
      </c>
      <c r="M33" s="51">
        <f t="shared" si="16"/>
        <v>40.1</v>
      </c>
      <c r="N33" s="51">
        <f t="shared" si="16"/>
        <v>19.4</v>
      </c>
      <c r="O33" s="51">
        <f>+O19/O18*100</f>
        <v>-8.1</v>
      </c>
      <c r="P33" s="51">
        <f>+P19/P18*100</f>
        <v>27.5</v>
      </c>
      <c r="Q33" s="51">
        <f>+Q19/Q18*100</f>
        <v>24</v>
      </c>
      <c r="R33" s="51">
        <f>+R19/R18*100</f>
        <v>23.1</v>
      </c>
      <c r="S33" s="51">
        <f>+S19/S18*100</f>
        <v>22.7</v>
      </c>
    </row>
    <row r="34" spans="1:19" ht="29.25" customHeight="1">
      <c r="A34" s="7"/>
      <c r="B34" s="248" t="s">
        <v>139</v>
      </c>
      <c r="C34" s="51">
        <f>+C26/C11*100</f>
        <v>-82.9</v>
      </c>
      <c r="D34" s="51">
        <f>+D26/D11*100</f>
        <v>19.7</v>
      </c>
      <c r="E34" s="51">
        <f>+E26/E11*100</f>
        <v>23</v>
      </c>
      <c r="F34" s="51">
        <f aca="true" t="shared" si="17" ref="F34:K34">+F26/F11*100</f>
        <v>18.7</v>
      </c>
      <c r="G34" s="51">
        <f t="shared" si="17"/>
        <v>9.3</v>
      </c>
      <c r="H34" s="51">
        <f t="shared" si="17"/>
        <v>11.6</v>
      </c>
      <c r="I34" s="51">
        <f t="shared" si="17"/>
        <v>16.3</v>
      </c>
      <c r="J34" s="51">
        <f t="shared" si="17"/>
        <v>14</v>
      </c>
      <c r="K34" s="51">
        <f t="shared" si="17"/>
        <v>11.1</v>
      </c>
      <c r="L34" s="51">
        <f aca="true" t="shared" si="18" ref="L34:Q34">+L26/L11*100</f>
        <v>10.2</v>
      </c>
      <c r="M34" s="51">
        <f t="shared" si="18"/>
        <v>-14.2</v>
      </c>
      <c r="N34" s="51">
        <f t="shared" si="18"/>
        <v>7.4</v>
      </c>
      <c r="O34" s="51">
        <f t="shared" si="18"/>
        <v>0.7</v>
      </c>
      <c r="P34" s="51">
        <f t="shared" si="18"/>
        <v>12.6</v>
      </c>
      <c r="Q34" s="51">
        <f t="shared" si="18"/>
        <v>4.3</v>
      </c>
      <c r="R34" s="51">
        <f>+R26/R11*100</f>
        <v>4.5</v>
      </c>
      <c r="S34" s="51">
        <f>+S26/S11*100</f>
        <v>5.6</v>
      </c>
    </row>
    <row r="35" spans="1:19" ht="17.25" customHeight="1" thickBot="1">
      <c r="A35" s="7"/>
      <c r="B35" s="58" t="s">
        <v>140</v>
      </c>
      <c r="C35" s="62">
        <f>+C25/C11*100</f>
        <v>-88.7</v>
      </c>
      <c r="D35" s="62">
        <f>+D25/D11*100</f>
        <v>20.2</v>
      </c>
      <c r="E35" s="62">
        <f>+E25/E11*100</f>
        <v>22.8</v>
      </c>
      <c r="F35" s="62">
        <f aca="true" t="shared" si="19" ref="F35:K35">+F25/F11*100</f>
        <v>18.7</v>
      </c>
      <c r="G35" s="62">
        <f t="shared" si="19"/>
        <v>9.3</v>
      </c>
      <c r="H35" s="62">
        <f t="shared" si="19"/>
        <v>11.6</v>
      </c>
      <c r="I35" s="62">
        <f t="shared" si="19"/>
        <v>16.2</v>
      </c>
      <c r="J35" s="62">
        <f>+J25/J11*100</f>
        <v>14</v>
      </c>
      <c r="K35" s="62">
        <f t="shared" si="19"/>
        <v>11.1</v>
      </c>
      <c r="L35" s="62">
        <f aca="true" t="shared" si="20" ref="L35:Q35">+L25/L11*100</f>
        <v>10.2</v>
      </c>
      <c r="M35" s="62">
        <f t="shared" si="20"/>
        <v>-14.2</v>
      </c>
      <c r="N35" s="62">
        <f t="shared" si="20"/>
        <v>7.4</v>
      </c>
      <c r="O35" s="62">
        <f t="shared" si="20"/>
        <v>0.7</v>
      </c>
      <c r="P35" s="62">
        <f t="shared" si="20"/>
        <v>12.6</v>
      </c>
      <c r="Q35" s="62">
        <f t="shared" si="20"/>
        <v>4.3</v>
      </c>
      <c r="R35" s="62">
        <f>+R25/R11*100</f>
        <v>4.5</v>
      </c>
      <c r="S35" s="62">
        <f>+S25/S11*100</f>
        <v>5.6</v>
      </c>
    </row>
    <row r="36" spans="1:19" ht="11.25" customHeight="1">
      <c r="A36" s="7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ht="17.25" customHeight="1">
      <c r="A37" s="7"/>
      <c r="B37" s="13" t="s">
        <v>38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</row>
    <row r="38" spans="1:19" s="18" customFormat="1" ht="27.75" customHeight="1">
      <c r="A38" s="7"/>
      <c r="B38" s="120" t="s">
        <v>87</v>
      </c>
      <c r="C38" s="121">
        <v>-7.51</v>
      </c>
      <c r="D38" s="121">
        <v>5.14</v>
      </c>
      <c r="E38" s="121">
        <v>1.66</v>
      </c>
      <c r="F38" s="121">
        <v>1.15</v>
      </c>
      <c r="G38" s="121">
        <v>0.48</v>
      </c>
      <c r="H38" s="121">
        <v>0.59</v>
      </c>
      <c r="I38" s="121">
        <v>3.93</v>
      </c>
      <c r="J38" s="121">
        <v>0.91</v>
      </c>
      <c r="K38" s="121">
        <v>0.48</v>
      </c>
      <c r="L38" s="121">
        <v>0.54</v>
      </c>
      <c r="M38" s="121">
        <v>-0.62</v>
      </c>
      <c r="N38" s="121">
        <v>1.37</v>
      </c>
      <c r="O38" s="121">
        <v>0.03</v>
      </c>
      <c r="P38" s="121">
        <v>0.48</v>
      </c>
      <c r="Q38" s="121">
        <v>0.16</v>
      </c>
      <c r="R38" s="121">
        <v>0.09</v>
      </c>
      <c r="S38" s="121">
        <v>0.82</v>
      </c>
    </row>
    <row r="39" spans="1:19" s="18" customFormat="1" ht="18" customHeight="1" thickBot="1">
      <c r="A39" s="7"/>
      <c r="B39" s="58" t="s">
        <v>88</v>
      </c>
      <c r="C39" s="122">
        <v>-8.01</v>
      </c>
      <c r="D39" s="122">
        <v>5.28</v>
      </c>
      <c r="E39" s="122">
        <v>1.64</v>
      </c>
      <c r="F39" s="122">
        <v>1.15</v>
      </c>
      <c r="G39" s="122">
        <v>0.48</v>
      </c>
      <c r="H39" s="122">
        <v>0.59</v>
      </c>
      <c r="I39" s="122">
        <v>3.91</v>
      </c>
      <c r="J39" s="122">
        <v>0.91</v>
      </c>
      <c r="K39" s="122">
        <v>0.48</v>
      </c>
      <c r="L39" s="122">
        <v>0.54</v>
      </c>
      <c r="M39" s="122">
        <v>-0.62</v>
      </c>
      <c r="N39" s="122">
        <v>1.37</v>
      </c>
      <c r="O39" s="122">
        <v>0.03</v>
      </c>
      <c r="P39" s="122">
        <v>0.48</v>
      </c>
      <c r="Q39" s="122">
        <v>0.16</v>
      </c>
      <c r="R39" s="122">
        <v>0.09</v>
      </c>
      <c r="S39" s="122">
        <v>0.82</v>
      </c>
    </row>
    <row r="40" spans="1:19" s="18" customFormat="1" ht="17.25" customHeight="1">
      <c r="A40" s="7"/>
      <c r="B40" s="12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</row>
    <row r="41" spans="1:19" s="18" customFormat="1" ht="27.75" customHeight="1">
      <c r="A41" s="7"/>
      <c r="B41" s="120" t="s">
        <v>89</v>
      </c>
      <c r="C41" s="121">
        <v>-7.51</v>
      </c>
      <c r="D41" s="121">
        <v>5.01</v>
      </c>
      <c r="E41" s="121">
        <v>1.65</v>
      </c>
      <c r="F41" s="121">
        <v>1.15</v>
      </c>
      <c r="G41" s="121">
        <v>0.48</v>
      </c>
      <c r="H41" s="121">
        <v>0.59</v>
      </c>
      <c r="I41" s="121">
        <v>3.91</v>
      </c>
      <c r="J41" s="121">
        <v>0.9</v>
      </c>
      <c r="K41" s="121">
        <v>0.48</v>
      </c>
      <c r="L41" s="121">
        <v>0.53</v>
      </c>
      <c r="M41" s="121">
        <v>-0.62</v>
      </c>
      <c r="N41" s="121">
        <v>1.36</v>
      </c>
      <c r="O41" s="121">
        <v>0.03</v>
      </c>
      <c r="P41" s="121">
        <v>0.46</v>
      </c>
      <c r="Q41" s="121">
        <v>0.16</v>
      </c>
      <c r="R41" s="121">
        <v>0.09</v>
      </c>
      <c r="S41" s="121">
        <v>0.81</v>
      </c>
    </row>
    <row r="42" spans="1:19" s="18" customFormat="1" ht="21" customHeight="1" thickBot="1">
      <c r="A42" s="7"/>
      <c r="B42" s="58" t="s">
        <v>90</v>
      </c>
      <c r="C42" s="122">
        <v>-8.01</v>
      </c>
      <c r="D42" s="122">
        <v>5.14</v>
      </c>
      <c r="E42" s="122">
        <v>1.63</v>
      </c>
      <c r="F42" s="122">
        <v>1.15</v>
      </c>
      <c r="G42" s="122">
        <v>0.48</v>
      </c>
      <c r="H42" s="122">
        <v>0.59</v>
      </c>
      <c r="I42" s="122">
        <v>3.89</v>
      </c>
      <c r="J42" s="122">
        <v>0.9</v>
      </c>
      <c r="K42" s="122">
        <v>0.48</v>
      </c>
      <c r="L42" s="122">
        <v>0.53</v>
      </c>
      <c r="M42" s="122">
        <v>-0.62</v>
      </c>
      <c r="N42" s="122">
        <v>1.36</v>
      </c>
      <c r="O42" s="122">
        <v>0.03</v>
      </c>
      <c r="P42" s="122">
        <v>0.46</v>
      </c>
      <c r="Q42" s="122">
        <v>0.16</v>
      </c>
      <c r="R42" s="122">
        <v>0.09</v>
      </c>
      <c r="S42" s="122">
        <v>0.81</v>
      </c>
    </row>
    <row r="43" spans="1:19" ht="17.25" customHeight="1">
      <c r="A43" s="7"/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7.25" customHeight="1">
      <c r="A44" s="7"/>
      <c r="B44" s="13" t="s">
        <v>39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19" ht="17.25" customHeight="1">
      <c r="A45" s="7"/>
      <c r="B45" s="24" t="s">
        <v>40</v>
      </c>
      <c r="C45" s="264" t="s">
        <v>166</v>
      </c>
      <c r="D45" s="264">
        <v>1031427</v>
      </c>
      <c r="E45" s="101">
        <v>1073803</v>
      </c>
      <c r="F45" s="101">
        <v>1137948</v>
      </c>
      <c r="G45" s="101">
        <v>1067388</v>
      </c>
      <c r="H45" s="101">
        <v>1032005</v>
      </c>
      <c r="I45" s="43">
        <f aca="true" t="shared" si="21" ref="I45:I50">+H45</f>
        <v>1032005</v>
      </c>
      <c r="J45" s="101">
        <v>1016468</v>
      </c>
      <c r="K45" s="101">
        <v>976923</v>
      </c>
      <c r="L45" s="101">
        <v>1061521</v>
      </c>
      <c r="M45" s="101">
        <v>1049165</v>
      </c>
      <c r="N45" s="43">
        <f aca="true" t="shared" si="22" ref="N45:N50">+M45</f>
        <v>1049165</v>
      </c>
      <c r="O45" s="264">
        <v>1000020</v>
      </c>
      <c r="P45" s="264">
        <v>1043455</v>
      </c>
      <c r="Q45" s="264">
        <v>1023292</v>
      </c>
      <c r="R45" s="264">
        <v>924280</v>
      </c>
      <c r="S45" s="43">
        <f aca="true" t="shared" si="23" ref="S45:S50">+R45</f>
        <v>924280</v>
      </c>
    </row>
    <row r="46" spans="1:19" ht="17.25" customHeight="1">
      <c r="A46" s="7"/>
      <c r="B46" s="28" t="s">
        <v>41</v>
      </c>
      <c r="C46" s="264">
        <v>235797</v>
      </c>
      <c r="D46" s="264">
        <v>237180</v>
      </c>
      <c r="E46" s="101">
        <v>228741</v>
      </c>
      <c r="F46" s="101">
        <v>227205</v>
      </c>
      <c r="G46" s="101">
        <v>222660</v>
      </c>
      <c r="H46" s="101">
        <v>218842</v>
      </c>
      <c r="I46" s="43">
        <f t="shared" si="21"/>
        <v>218842</v>
      </c>
      <c r="J46" s="101">
        <v>222510</v>
      </c>
      <c r="K46" s="101">
        <v>220030</v>
      </c>
      <c r="L46" s="101">
        <v>226447</v>
      </c>
      <c r="M46" s="101">
        <v>233413</v>
      </c>
      <c r="N46" s="43">
        <f t="shared" si="22"/>
        <v>233413</v>
      </c>
      <c r="O46" s="264">
        <v>231696</v>
      </c>
      <c r="P46" s="264">
        <v>239164</v>
      </c>
      <c r="Q46" s="264">
        <v>242456</v>
      </c>
      <c r="R46" s="264">
        <v>242223</v>
      </c>
      <c r="S46" s="43">
        <f t="shared" si="23"/>
        <v>242223</v>
      </c>
    </row>
    <row r="47" spans="1:19" ht="17.25" customHeight="1">
      <c r="A47" s="7"/>
      <c r="B47" s="28" t="s">
        <v>44</v>
      </c>
      <c r="C47" s="265">
        <v>32302</v>
      </c>
      <c r="D47" s="265">
        <v>37517</v>
      </c>
      <c r="E47" s="103">
        <v>36815</v>
      </c>
      <c r="F47" s="103">
        <v>35633</v>
      </c>
      <c r="G47" s="103">
        <v>34088</v>
      </c>
      <c r="H47" s="103">
        <v>33282</v>
      </c>
      <c r="I47" s="50">
        <f t="shared" si="21"/>
        <v>33282</v>
      </c>
      <c r="J47" s="103">
        <v>34057</v>
      </c>
      <c r="K47" s="103">
        <v>31216</v>
      </c>
      <c r="L47" s="103">
        <v>33519</v>
      </c>
      <c r="M47" s="103">
        <v>33674</v>
      </c>
      <c r="N47" s="50">
        <f t="shared" si="22"/>
        <v>33674</v>
      </c>
      <c r="O47" s="265">
        <v>33585</v>
      </c>
      <c r="P47" s="265">
        <v>34774</v>
      </c>
      <c r="Q47" s="265">
        <v>35682</v>
      </c>
      <c r="R47" s="265">
        <v>35498</v>
      </c>
      <c r="S47" s="50">
        <f t="shared" si="23"/>
        <v>35498</v>
      </c>
    </row>
    <row r="48" spans="1:19" ht="17.25" customHeight="1">
      <c r="A48" s="7"/>
      <c r="B48" s="28" t="s">
        <v>42</v>
      </c>
      <c r="C48" s="264">
        <v>9330</v>
      </c>
      <c r="D48" s="264">
        <v>9267</v>
      </c>
      <c r="E48" s="101">
        <v>9399</v>
      </c>
      <c r="F48" s="101">
        <v>9582</v>
      </c>
      <c r="G48" s="101">
        <v>8874</v>
      </c>
      <c r="H48" s="101">
        <v>8585</v>
      </c>
      <c r="I48" s="43">
        <f t="shared" si="21"/>
        <v>8585</v>
      </c>
      <c r="J48" s="101">
        <v>8433</v>
      </c>
      <c r="K48" s="101">
        <v>7908</v>
      </c>
      <c r="L48" s="101">
        <v>8361</v>
      </c>
      <c r="M48" s="101">
        <v>8591</v>
      </c>
      <c r="N48" s="43">
        <f t="shared" si="22"/>
        <v>8591</v>
      </c>
      <c r="O48" s="264">
        <v>8333</v>
      </c>
      <c r="P48" s="264">
        <v>8665</v>
      </c>
      <c r="Q48" s="264">
        <v>8603</v>
      </c>
      <c r="R48" s="264">
        <v>8389</v>
      </c>
      <c r="S48" s="43">
        <f t="shared" si="23"/>
        <v>8389</v>
      </c>
    </row>
    <row r="49" spans="1:19" ht="17.25" customHeight="1">
      <c r="A49" s="7"/>
      <c r="B49" s="28" t="s">
        <v>43</v>
      </c>
      <c r="C49" s="265">
        <v>423</v>
      </c>
      <c r="D49" s="265">
        <v>328</v>
      </c>
      <c r="E49" s="103">
        <v>398</v>
      </c>
      <c r="F49" s="103">
        <v>377</v>
      </c>
      <c r="G49" s="103">
        <v>340</v>
      </c>
      <c r="H49" s="103">
        <v>312</v>
      </c>
      <c r="I49" s="66">
        <f t="shared" si="21"/>
        <v>312</v>
      </c>
      <c r="J49" s="103">
        <v>294</v>
      </c>
      <c r="K49" s="103">
        <v>281</v>
      </c>
      <c r="L49" s="103">
        <v>269</v>
      </c>
      <c r="M49" s="103">
        <v>288</v>
      </c>
      <c r="N49" s="66">
        <f t="shared" si="22"/>
        <v>288</v>
      </c>
      <c r="O49" s="265">
        <v>260</v>
      </c>
      <c r="P49" s="265">
        <v>278</v>
      </c>
      <c r="Q49" s="265">
        <v>281</v>
      </c>
      <c r="R49" s="265">
        <v>243</v>
      </c>
      <c r="S49" s="66">
        <f t="shared" si="23"/>
        <v>243</v>
      </c>
    </row>
    <row r="50" spans="1:19" ht="17.25" customHeight="1" thickBot="1">
      <c r="A50" s="7"/>
      <c r="B50" s="58" t="s">
        <v>45</v>
      </c>
      <c r="C50" s="63">
        <f aca="true" t="shared" si="24" ref="C50:H50">+C47-C48-C49</f>
        <v>22549</v>
      </c>
      <c r="D50" s="63">
        <f t="shared" si="24"/>
        <v>27922</v>
      </c>
      <c r="E50" s="63">
        <f t="shared" si="24"/>
        <v>27018</v>
      </c>
      <c r="F50" s="63">
        <f t="shared" si="24"/>
        <v>25674</v>
      </c>
      <c r="G50" s="63">
        <f t="shared" si="24"/>
        <v>24874</v>
      </c>
      <c r="H50" s="63">
        <f t="shared" si="24"/>
        <v>24385</v>
      </c>
      <c r="I50" s="63">
        <f t="shared" si="21"/>
        <v>24385</v>
      </c>
      <c r="J50" s="63">
        <f>+J47-J48-J49</f>
        <v>25330</v>
      </c>
      <c r="K50" s="63">
        <f>+K47-K48-K49</f>
        <v>23027</v>
      </c>
      <c r="L50" s="63">
        <f>+L47-L48-L49</f>
        <v>24889</v>
      </c>
      <c r="M50" s="63">
        <f>+M47-M48-M49</f>
        <v>24795</v>
      </c>
      <c r="N50" s="63">
        <f t="shared" si="22"/>
        <v>24795</v>
      </c>
      <c r="O50" s="63">
        <f>+O47-O48-O49</f>
        <v>24992</v>
      </c>
      <c r="P50" s="63">
        <f>+P47-P48-P49</f>
        <v>25831</v>
      </c>
      <c r="Q50" s="63">
        <f>+Q47-Q48-Q49</f>
        <v>26798</v>
      </c>
      <c r="R50" s="63">
        <f>+R47-R48-R49</f>
        <v>26866</v>
      </c>
      <c r="S50" s="63">
        <f t="shared" si="23"/>
        <v>26866</v>
      </c>
    </row>
    <row r="51" spans="1:19" ht="11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7.25" customHeight="1">
      <c r="A52" s="7"/>
      <c r="B52" s="13" t="s">
        <v>46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ht="27.75" customHeight="1">
      <c r="A53" s="7"/>
      <c r="B53" s="135" t="s">
        <v>100</v>
      </c>
      <c r="C53" s="77">
        <v>-21.1</v>
      </c>
      <c r="D53" s="77">
        <v>18.3</v>
      </c>
      <c r="E53" s="77">
        <v>22.3</v>
      </c>
      <c r="F53" s="77">
        <v>17.8</v>
      </c>
      <c r="G53" s="77">
        <v>7</v>
      </c>
      <c r="H53" s="77">
        <v>9.8</v>
      </c>
      <c r="I53" s="77">
        <v>14.4</v>
      </c>
      <c r="J53" s="77">
        <v>13.4</v>
      </c>
      <c r="K53" s="77">
        <v>9.7</v>
      </c>
      <c r="L53" s="77">
        <v>8.7</v>
      </c>
      <c r="M53" s="77">
        <v>-7.7</v>
      </c>
      <c r="N53" s="77">
        <v>6</v>
      </c>
      <c r="O53" s="77">
        <v>0.5</v>
      </c>
      <c r="P53" s="77">
        <v>9.2</v>
      </c>
      <c r="Q53" s="77">
        <v>2.9</v>
      </c>
      <c r="R53" s="77">
        <v>2.9</v>
      </c>
      <c r="S53" s="77">
        <v>3.9</v>
      </c>
    </row>
    <row r="54" spans="1:19" ht="29.25" customHeight="1" thickBot="1">
      <c r="A54" s="7"/>
      <c r="B54" s="117" t="s">
        <v>101</v>
      </c>
      <c r="C54" s="105">
        <v>-29.3</v>
      </c>
      <c r="D54" s="105">
        <v>25.1</v>
      </c>
      <c r="E54" s="105">
        <v>30.4</v>
      </c>
      <c r="F54" s="105">
        <v>24.8</v>
      </c>
      <c r="G54" s="105">
        <v>9.7</v>
      </c>
      <c r="H54" s="105">
        <v>13.4</v>
      </c>
      <c r="I54" s="105">
        <v>19.8</v>
      </c>
      <c r="J54" s="105">
        <v>18.1</v>
      </c>
      <c r="K54" s="105">
        <v>13.1</v>
      </c>
      <c r="L54" s="105">
        <v>11.8</v>
      </c>
      <c r="M54" s="105">
        <v>-10.4</v>
      </c>
      <c r="N54" s="105">
        <v>8.1</v>
      </c>
      <c r="O54" s="105">
        <v>0.7</v>
      </c>
      <c r="P54" s="105">
        <v>12.5</v>
      </c>
      <c r="Q54" s="105">
        <v>3.8</v>
      </c>
      <c r="R54" s="105">
        <v>3.9</v>
      </c>
      <c r="S54" s="105">
        <v>5.2</v>
      </c>
    </row>
    <row r="55" spans="1:19" ht="17.25" customHeight="1">
      <c r="A55" s="7"/>
      <c r="B55" s="1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17.25" customHeight="1">
      <c r="A56" s="7"/>
      <c r="B56" s="13" t="s">
        <v>47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ht="17.25" customHeight="1">
      <c r="A57" s="7"/>
      <c r="B57" s="24" t="s">
        <v>48</v>
      </c>
      <c r="C57" s="64">
        <f>+C47/C63</f>
        <v>27.75</v>
      </c>
      <c r="D57" s="64">
        <f>+D47/D63</f>
        <v>32.09</v>
      </c>
      <c r="E57" s="64">
        <f>+E47/E63</f>
        <v>31.88</v>
      </c>
      <c r="F57" s="64">
        <f>+F47/F63</f>
        <v>30.04</v>
      </c>
      <c r="G57" s="64">
        <f>+G47/G63</f>
        <v>28.78</v>
      </c>
      <c r="H57" s="64">
        <f aca="true" t="shared" si="25" ref="H57:N57">+H47/H63</f>
        <v>28.35</v>
      </c>
      <c r="I57" s="64">
        <f t="shared" si="25"/>
        <v>28.35</v>
      </c>
      <c r="J57" s="64">
        <f>+J47/J63</f>
        <v>28.36</v>
      </c>
      <c r="K57" s="64">
        <f t="shared" si="25"/>
        <v>26.03</v>
      </c>
      <c r="L57" s="64">
        <f t="shared" si="25"/>
        <v>27.86</v>
      </c>
      <c r="M57" s="64">
        <f>+M47/M63</f>
        <v>27.59</v>
      </c>
      <c r="N57" s="64">
        <f t="shared" si="25"/>
        <v>27.59</v>
      </c>
      <c r="O57" s="64">
        <f>+O47/O63</f>
        <v>27.43</v>
      </c>
      <c r="P57" s="64">
        <f>+P47/P63</f>
        <v>27.1</v>
      </c>
      <c r="Q57" s="64">
        <f>+Q47/Q63</f>
        <v>27.6</v>
      </c>
      <c r="R57" s="64">
        <f>+R47/R63</f>
        <v>27.44</v>
      </c>
      <c r="S57" s="64">
        <f>+S47/S63</f>
        <v>27.44</v>
      </c>
    </row>
    <row r="58" spans="1:19" ht="17.25" customHeight="1" thickBot="1">
      <c r="A58" s="7"/>
      <c r="B58" s="58" t="s">
        <v>49</v>
      </c>
      <c r="C58" s="68">
        <v>19.37</v>
      </c>
      <c r="D58" s="68">
        <v>23.88</v>
      </c>
      <c r="E58" s="68">
        <v>23.4</v>
      </c>
      <c r="F58" s="68">
        <v>21.65</v>
      </c>
      <c r="G58" s="68">
        <v>21</v>
      </c>
      <c r="H58" s="68">
        <v>20.77</v>
      </c>
      <c r="I58" s="68">
        <v>20.77</v>
      </c>
      <c r="J58" s="68">
        <v>21.1</v>
      </c>
      <c r="K58" s="68">
        <v>19.21</v>
      </c>
      <c r="L58" s="68">
        <v>20.69</v>
      </c>
      <c r="M58" s="68">
        <v>20.32</v>
      </c>
      <c r="N58" s="68">
        <v>20.32</v>
      </c>
      <c r="O58" s="68">
        <v>20.41</v>
      </c>
      <c r="P58" s="68">
        <v>20.13</v>
      </c>
      <c r="Q58" s="68">
        <v>20.73</v>
      </c>
      <c r="R58" s="68">
        <v>20.77</v>
      </c>
      <c r="S58" s="68">
        <f>R58</f>
        <v>20.77</v>
      </c>
    </row>
    <row r="59" spans="1:19" ht="13.5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7.25" customHeight="1">
      <c r="A60" s="7"/>
      <c r="B60" s="13" t="s">
        <v>50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7.25" customHeight="1">
      <c r="A61" s="7"/>
      <c r="B61" s="24" t="s">
        <v>61</v>
      </c>
      <c r="C61" s="266">
        <v>1184.6</v>
      </c>
      <c r="D61" s="266">
        <v>1185.4</v>
      </c>
      <c r="E61" s="77">
        <v>1185.8</v>
      </c>
      <c r="F61" s="77">
        <v>1186.1</v>
      </c>
      <c r="G61" s="77">
        <v>1186.1</v>
      </c>
      <c r="H61" s="77">
        <v>1186.1</v>
      </c>
      <c r="I61" s="57">
        <f>+H61</f>
        <v>1186.1</v>
      </c>
      <c r="J61" s="77">
        <v>1201</v>
      </c>
      <c r="K61" s="77">
        <v>1202.2</v>
      </c>
      <c r="L61" s="77">
        <v>1203</v>
      </c>
      <c r="M61" s="77">
        <v>1224.3</v>
      </c>
      <c r="N61" s="57">
        <f>+M61</f>
        <v>1224.3</v>
      </c>
      <c r="O61" s="266">
        <v>1224.5</v>
      </c>
      <c r="P61" s="266">
        <v>1286.6</v>
      </c>
      <c r="Q61" s="266">
        <v>1320.1</v>
      </c>
      <c r="R61" s="266">
        <v>1320.8</v>
      </c>
      <c r="S61" s="57">
        <f>+R61</f>
        <v>1320.8</v>
      </c>
    </row>
    <row r="62" spans="1:19" ht="17.25" customHeight="1">
      <c r="A62" s="7"/>
      <c r="B62" s="29" t="s">
        <v>125</v>
      </c>
      <c r="C62" s="267">
        <v>-20.7</v>
      </c>
      <c r="D62" s="267">
        <v>-16.2</v>
      </c>
      <c r="E62" s="69">
        <v>-30.9</v>
      </c>
      <c r="F62" s="69">
        <v>0</v>
      </c>
      <c r="G62" s="69">
        <v>-1.8</v>
      </c>
      <c r="H62" s="69">
        <v>-12.2</v>
      </c>
      <c r="I62" s="54">
        <f>+H62</f>
        <v>-12.2</v>
      </c>
      <c r="J62" s="69">
        <v>0</v>
      </c>
      <c r="K62" s="69">
        <v>-3.1</v>
      </c>
      <c r="L62" s="69">
        <v>0</v>
      </c>
      <c r="M62" s="69">
        <v>-4</v>
      </c>
      <c r="N62" s="54">
        <f>+M62</f>
        <v>-4</v>
      </c>
      <c r="O62" s="267">
        <v>0</v>
      </c>
      <c r="P62" s="267">
        <v>-3.5</v>
      </c>
      <c r="Q62" s="267">
        <v>-27.4</v>
      </c>
      <c r="R62" s="267">
        <v>-27</v>
      </c>
      <c r="S62" s="54">
        <f>+R62</f>
        <v>-27</v>
      </c>
    </row>
    <row r="63" spans="1:19" ht="17.25" customHeight="1" thickBot="1">
      <c r="A63" s="7"/>
      <c r="B63" s="58" t="s">
        <v>51</v>
      </c>
      <c r="C63" s="62">
        <f aca="true" t="shared" si="26" ref="C63:H63">SUM(C61:C62)</f>
        <v>1163.9</v>
      </c>
      <c r="D63" s="62">
        <f t="shared" si="26"/>
        <v>1169.2</v>
      </c>
      <c r="E63" s="62">
        <f t="shared" si="26"/>
        <v>1154.9</v>
      </c>
      <c r="F63" s="62">
        <f t="shared" si="26"/>
        <v>1186.1</v>
      </c>
      <c r="G63" s="62">
        <f t="shared" si="26"/>
        <v>1184.3</v>
      </c>
      <c r="H63" s="62">
        <f t="shared" si="26"/>
        <v>1173.9</v>
      </c>
      <c r="I63" s="62">
        <f>+H63</f>
        <v>1173.9</v>
      </c>
      <c r="J63" s="62">
        <f>SUM(J61:J62)</f>
        <v>1201</v>
      </c>
      <c r="K63" s="62">
        <f>SUM(K61:K62)</f>
        <v>1199.1</v>
      </c>
      <c r="L63" s="62">
        <f>SUM(L61:L62)</f>
        <v>1203</v>
      </c>
      <c r="M63" s="62">
        <f>SUM(M61:M62)</f>
        <v>1220.3</v>
      </c>
      <c r="N63" s="62">
        <f>+M63</f>
        <v>1220.3</v>
      </c>
      <c r="O63" s="62">
        <f>SUM(O61:O62)</f>
        <v>1224.5</v>
      </c>
      <c r="P63" s="62">
        <f>SUM(P61:P62)</f>
        <v>1283.1</v>
      </c>
      <c r="Q63" s="62">
        <f>SUM(Q61:Q62)</f>
        <v>1292.7</v>
      </c>
      <c r="R63" s="62">
        <f>SUM(R61:R62)</f>
        <v>1293.8</v>
      </c>
      <c r="S63" s="62">
        <f>+R63</f>
        <v>1293.8</v>
      </c>
    </row>
    <row r="64" spans="1:19" ht="17.25" customHeight="1">
      <c r="A64" s="7"/>
      <c r="B64" s="1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ht="17.25" customHeight="1">
      <c r="A65" s="7"/>
      <c r="B65" s="13" t="s">
        <v>138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ht="17.25" customHeight="1">
      <c r="A66" s="7"/>
      <c r="B66" s="24" t="s">
        <v>52</v>
      </c>
      <c r="C66" s="264">
        <v>257467</v>
      </c>
      <c r="D66" s="264">
        <v>221609</v>
      </c>
      <c r="E66" s="101">
        <v>229111</v>
      </c>
      <c r="F66" s="101">
        <v>232964</v>
      </c>
      <c r="G66" s="101">
        <v>227683</v>
      </c>
      <c r="H66" s="101">
        <v>218702</v>
      </c>
      <c r="I66" s="82">
        <f>H66</f>
        <v>218702</v>
      </c>
      <c r="J66" s="101">
        <v>212196</v>
      </c>
      <c r="K66" s="101">
        <v>203741</v>
      </c>
      <c r="L66" s="101">
        <v>210138</v>
      </c>
      <c r="M66" s="101">
        <v>241753</v>
      </c>
      <c r="N66" s="82">
        <f>M66</f>
        <v>241753</v>
      </c>
      <c r="O66" s="264">
        <v>234390</v>
      </c>
      <c r="P66" s="264">
        <v>233705</v>
      </c>
      <c r="Q66" s="264">
        <v>233509</v>
      </c>
      <c r="R66" s="264">
        <v>224296</v>
      </c>
      <c r="S66" s="82">
        <f>R66</f>
        <v>224296</v>
      </c>
    </row>
    <row r="67" spans="1:19" ht="17.25" customHeight="1">
      <c r="A67" s="7"/>
      <c r="B67" s="24" t="s">
        <v>53</v>
      </c>
      <c r="C67" s="264">
        <v>34208</v>
      </c>
      <c r="D67" s="264">
        <v>36207</v>
      </c>
      <c r="E67" s="101">
        <v>37467</v>
      </c>
      <c r="F67" s="101">
        <v>37990</v>
      </c>
      <c r="G67" s="101">
        <v>37928</v>
      </c>
      <c r="H67" s="101">
        <v>37725</v>
      </c>
      <c r="I67" s="82">
        <f>H67</f>
        <v>37725</v>
      </c>
      <c r="J67" s="101">
        <v>38514</v>
      </c>
      <c r="K67" s="101">
        <v>37076</v>
      </c>
      <c r="L67" s="101">
        <v>37124</v>
      </c>
      <c r="M67" s="101">
        <v>36844</v>
      </c>
      <c r="N67" s="82">
        <f>M67</f>
        <v>36844</v>
      </c>
      <c r="O67" s="264">
        <v>36668</v>
      </c>
      <c r="P67" s="264">
        <v>38512</v>
      </c>
      <c r="Q67" s="264">
        <v>43257</v>
      </c>
      <c r="R67" s="264">
        <v>43547</v>
      </c>
      <c r="S67" s="82">
        <f>R67</f>
        <v>43547</v>
      </c>
    </row>
    <row r="68" spans="1:19" ht="17.25" customHeight="1" thickBot="1">
      <c r="A68" s="7"/>
      <c r="B68" s="58" t="s">
        <v>86</v>
      </c>
      <c r="C68" s="268">
        <v>46090</v>
      </c>
      <c r="D68" s="268">
        <v>45728</v>
      </c>
      <c r="E68" s="104">
        <v>49543</v>
      </c>
      <c r="F68" s="104">
        <v>50794</v>
      </c>
      <c r="G68" s="104">
        <v>49863</v>
      </c>
      <c r="H68" s="104">
        <v>47799</v>
      </c>
      <c r="I68" s="125">
        <f>H68</f>
        <v>47799</v>
      </c>
      <c r="J68" s="104">
        <v>50260</v>
      </c>
      <c r="K68" s="104">
        <v>48088</v>
      </c>
      <c r="L68" s="104">
        <v>49450</v>
      </c>
      <c r="M68" s="104">
        <v>48654</v>
      </c>
      <c r="N68" s="125">
        <f>M68</f>
        <v>48654</v>
      </c>
      <c r="O68" s="268">
        <v>44996</v>
      </c>
      <c r="P68" s="268">
        <v>47230</v>
      </c>
      <c r="Q68" s="268">
        <v>49566</v>
      </c>
      <c r="R68" s="268">
        <v>49936</v>
      </c>
      <c r="S68" s="125">
        <f>R68</f>
        <v>49936</v>
      </c>
    </row>
    <row r="69" spans="1:19" ht="17.25" customHeight="1">
      <c r="A69" s="7"/>
      <c r="B69" s="11"/>
      <c r="C69" s="15"/>
      <c r="D69" s="15"/>
      <c r="E69" s="107"/>
      <c r="F69" s="107"/>
      <c r="G69" s="107"/>
      <c r="H69" s="15"/>
      <c r="I69" s="15"/>
      <c r="J69" s="107"/>
      <c r="K69" s="107"/>
      <c r="L69" s="107"/>
      <c r="M69" s="107"/>
      <c r="N69" s="15"/>
      <c r="O69" s="15"/>
      <c r="P69" s="15"/>
      <c r="Q69" s="15"/>
      <c r="R69" s="15"/>
      <c r="S69" s="15"/>
    </row>
    <row r="70" spans="1:19" ht="17.25" customHeight="1">
      <c r="A70" s="7"/>
      <c r="B70" s="24" t="s">
        <v>54</v>
      </c>
      <c r="C70" s="266">
        <v>13.3</v>
      </c>
      <c r="D70" s="266">
        <v>16.3</v>
      </c>
      <c r="E70" s="77">
        <v>16.4</v>
      </c>
      <c r="F70" s="77">
        <v>16.3</v>
      </c>
      <c r="G70" s="77">
        <v>16.7</v>
      </c>
      <c r="H70" s="77">
        <v>17.2</v>
      </c>
      <c r="I70" s="126">
        <v>17.2</v>
      </c>
      <c r="J70" s="77">
        <v>18.2</v>
      </c>
      <c r="K70" s="77">
        <v>18.2</v>
      </c>
      <c r="L70" s="77">
        <v>17.7</v>
      </c>
      <c r="M70" s="77">
        <v>15.2</v>
      </c>
      <c r="N70" s="250">
        <f>M70</f>
        <v>15.2</v>
      </c>
      <c r="O70" s="266">
        <v>15.6</v>
      </c>
      <c r="P70" s="266">
        <v>16.5</v>
      </c>
      <c r="Q70" s="266">
        <v>18.5</v>
      </c>
      <c r="R70" s="266">
        <v>19.4</v>
      </c>
      <c r="S70" s="250">
        <f>R70</f>
        <v>19.4</v>
      </c>
    </row>
    <row r="71" spans="1:19" ht="17.25" customHeight="1" thickBot="1">
      <c r="A71" s="7"/>
      <c r="B71" s="58" t="s">
        <v>55</v>
      </c>
      <c r="C71" s="269">
        <v>17.9</v>
      </c>
      <c r="D71" s="269">
        <v>20.6</v>
      </c>
      <c r="E71" s="105">
        <v>21.6</v>
      </c>
      <c r="F71" s="105">
        <v>21.8</v>
      </c>
      <c r="G71" s="105">
        <v>21.9</v>
      </c>
      <c r="H71" s="105">
        <v>21.9</v>
      </c>
      <c r="I71" s="127">
        <v>21.9</v>
      </c>
      <c r="J71" s="105">
        <v>23.7</v>
      </c>
      <c r="K71" s="105">
        <v>23.6</v>
      </c>
      <c r="L71" s="105">
        <v>23.5</v>
      </c>
      <c r="M71" s="105">
        <v>20.1</v>
      </c>
      <c r="N71" s="251">
        <f>M71</f>
        <v>20.1</v>
      </c>
      <c r="O71" s="269">
        <v>19.2</v>
      </c>
      <c r="P71" s="269">
        <v>20.2</v>
      </c>
      <c r="Q71" s="269">
        <v>21.2</v>
      </c>
      <c r="R71" s="269">
        <v>22.3</v>
      </c>
      <c r="S71" s="251">
        <f>R71</f>
        <v>22.3</v>
      </c>
    </row>
    <row r="72" spans="1:19" ht="17.25" customHeight="1">
      <c r="A72" s="7"/>
      <c r="B72" s="19"/>
      <c r="C72" s="20"/>
      <c r="D72" s="20"/>
      <c r="E72" s="106"/>
      <c r="F72" s="106"/>
      <c r="G72" s="106"/>
      <c r="H72" s="106"/>
      <c r="I72" s="20"/>
      <c r="J72" s="106"/>
      <c r="K72" s="106"/>
      <c r="L72" s="106"/>
      <c r="M72" s="106"/>
      <c r="N72" s="20"/>
      <c r="O72" s="20"/>
      <c r="P72" s="20"/>
      <c r="Q72" s="20"/>
      <c r="R72" s="20"/>
      <c r="S72" s="20"/>
    </row>
    <row r="73" spans="1:19" ht="17.25" customHeight="1">
      <c r="A73" s="7"/>
      <c r="B73" s="13" t="s">
        <v>57</v>
      </c>
      <c r="C73" s="15"/>
      <c r="D73" s="15"/>
      <c r="E73" s="107"/>
      <c r="F73" s="107"/>
      <c r="G73" s="107"/>
      <c r="H73" s="107"/>
      <c r="I73" s="15"/>
      <c r="J73" s="107"/>
      <c r="K73" s="107"/>
      <c r="L73" s="107"/>
      <c r="M73" s="107"/>
      <c r="N73" s="15"/>
      <c r="O73" s="15"/>
      <c r="P73" s="15"/>
      <c r="Q73" s="15"/>
      <c r="R73" s="15"/>
      <c r="S73" s="15"/>
    </row>
    <row r="74" spans="1:19" ht="17.25" customHeight="1" thickBot="1">
      <c r="A74" s="7"/>
      <c r="B74" s="58" t="s">
        <v>58</v>
      </c>
      <c r="C74" s="63">
        <f>+'Core Results'!C44</f>
        <v>47800</v>
      </c>
      <c r="D74" s="63">
        <f>+'Core Results'!D44</f>
        <v>47600</v>
      </c>
      <c r="E74" s="63">
        <f>+'Core Results'!E44</f>
        <v>48300</v>
      </c>
      <c r="F74" s="63">
        <f>+'Core Results'!F44</f>
        <v>49200</v>
      </c>
      <c r="G74" s="63">
        <f>+'Core Results'!G44</f>
        <v>50500</v>
      </c>
      <c r="H74" s="63">
        <f>+'Core Results'!H44</f>
        <v>50100</v>
      </c>
      <c r="I74" s="63">
        <f>+'Core Results'!I44</f>
        <v>50100</v>
      </c>
      <c r="J74" s="63">
        <f>+'Core Results'!J44</f>
        <v>50100</v>
      </c>
      <c r="K74" s="63">
        <f>+'Core Results'!K44</f>
        <v>50700</v>
      </c>
      <c r="L74" s="63">
        <f>+'Core Results'!L44</f>
        <v>50700</v>
      </c>
      <c r="M74" s="63">
        <v>49700</v>
      </c>
      <c r="N74" s="63">
        <v>49700</v>
      </c>
      <c r="O74" s="63">
        <f>'Core Results'!O44</f>
        <v>48700</v>
      </c>
      <c r="P74" s="63">
        <f>'Core Results'!P44</f>
        <v>48200</v>
      </c>
      <c r="Q74" s="63">
        <f>'Core Results'!Q44</f>
        <v>48400</v>
      </c>
      <c r="R74" s="63">
        <f>'Core Results'!R44</f>
        <v>47400</v>
      </c>
      <c r="S74" s="63">
        <f>R74</f>
        <v>47400</v>
      </c>
    </row>
    <row r="75" spans="1:19" ht="11.25" customHeight="1">
      <c r="A75" s="7"/>
      <c r="B75" s="1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7.25" customHeigh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 ht="11.25" customHeight="1">
      <c r="A77" s="7"/>
      <c r="B77" s="1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s="18" customFormat="1" ht="17.25" customHeight="1">
      <c r="A78" s="194" t="s">
        <v>93</v>
      </c>
      <c r="B78" s="12" t="s">
        <v>106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s="18" customFormat="1" ht="20.25" customHeight="1">
      <c r="A79" s="194" t="s">
        <v>99</v>
      </c>
      <c r="B79" s="12" t="s">
        <v>171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8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11" width="11.57421875" style="1" customWidth="1"/>
    <col min="12" max="13" width="11.7109375" style="1" customWidth="1"/>
    <col min="14" max="19" width="11.57421875" style="1" customWidth="1"/>
    <col min="20" max="16384" width="1.7109375" style="1" customWidth="1"/>
  </cols>
  <sheetData>
    <row r="1" spans="1:19" ht="21.75" customHeight="1">
      <c r="A1" s="2"/>
      <c r="B1" s="408" t="s">
        <v>151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7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20.25" customHeight="1">
      <c r="A3" s="7"/>
      <c r="B3" s="7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1:19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" customHeight="1" thickTop="1">
      <c r="A5" s="7"/>
      <c r="B5" s="211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</row>
    <row r="6" spans="1:19" ht="1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8" customFormat="1" ht="17.25" customHeight="1" thickBot="1">
      <c r="A7" s="7"/>
      <c r="B7" s="26" t="s">
        <v>11</v>
      </c>
      <c r="C7" s="22">
        <v>600</v>
      </c>
      <c r="D7" s="22">
        <v>2070</v>
      </c>
      <c r="E7" s="98">
        <v>684</v>
      </c>
      <c r="F7" s="98">
        <v>551</v>
      </c>
      <c r="G7" s="98">
        <v>622</v>
      </c>
      <c r="H7" s="98">
        <v>652</v>
      </c>
      <c r="I7" s="40">
        <f>SUM(E7:H7)</f>
        <v>2509</v>
      </c>
      <c r="J7" s="98">
        <v>640</v>
      </c>
      <c r="K7" s="98">
        <v>669</v>
      </c>
      <c r="L7" s="98">
        <v>505</v>
      </c>
      <c r="M7" s="98">
        <v>483</v>
      </c>
      <c r="N7" s="40">
        <f>SUM(J7:M7)</f>
        <v>2297</v>
      </c>
      <c r="O7" s="98">
        <v>701</v>
      </c>
      <c r="P7" s="98">
        <v>566</v>
      </c>
      <c r="Q7" s="98">
        <v>618</v>
      </c>
      <c r="R7" s="98">
        <v>578</v>
      </c>
      <c r="S7" s="40">
        <f>SUM(O7:R7)</f>
        <v>2463</v>
      </c>
    </row>
    <row r="8" spans="1:19" s="18" customFormat="1" ht="17.25" customHeight="1" thickBot="1">
      <c r="A8" s="7"/>
      <c r="B8" s="26" t="s">
        <v>12</v>
      </c>
      <c r="C8" s="22">
        <v>0</v>
      </c>
      <c r="D8" s="22">
        <v>0</v>
      </c>
      <c r="E8" s="98">
        <v>0</v>
      </c>
      <c r="F8" s="98">
        <v>0</v>
      </c>
      <c r="G8" s="98">
        <v>0</v>
      </c>
      <c r="H8" s="98">
        <v>0</v>
      </c>
      <c r="I8" s="40">
        <f>SUM(E8:H8)</f>
        <v>0</v>
      </c>
      <c r="J8" s="98">
        <v>0</v>
      </c>
      <c r="K8" s="98">
        <v>0</v>
      </c>
      <c r="L8" s="98">
        <v>0</v>
      </c>
      <c r="M8" s="98">
        <v>0</v>
      </c>
      <c r="N8" s="40">
        <f>SUM(J8:M8)</f>
        <v>0</v>
      </c>
      <c r="O8" s="98">
        <v>0</v>
      </c>
      <c r="P8" s="98">
        <v>0</v>
      </c>
      <c r="Q8" s="98">
        <v>0</v>
      </c>
      <c r="R8" s="98">
        <v>0</v>
      </c>
      <c r="S8" s="40">
        <f>SUM(O8:R8)</f>
        <v>0</v>
      </c>
    </row>
    <row r="9" spans="1:19" s="18" customFormat="1" ht="17.25" customHeight="1" thickBot="1">
      <c r="A9" s="7"/>
      <c r="B9" s="26" t="s">
        <v>17</v>
      </c>
      <c r="C9" s="320">
        <v>1946</v>
      </c>
      <c r="D9" s="40">
        <v>1919</v>
      </c>
      <c r="E9" s="40">
        <v>496</v>
      </c>
      <c r="F9" s="40">
        <v>510</v>
      </c>
      <c r="G9" s="40">
        <v>474</v>
      </c>
      <c r="H9" s="40">
        <v>463</v>
      </c>
      <c r="I9" s="40">
        <f>SUM(E9:H9)</f>
        <v>1943</v>
      </c>
      <c r="J9" s="40">
        <v>449</v>
      </c>
      <c r="K9" s="40">
        <v>456</v>
      </c>
      <c r="L9" s="40">
        <v>405</v>
      </c>
      <c r="M9" s="40">
        <v>393</v>
      </c>
      <c r="N9" s="40">
        <f>SUM(J9:M9)</f>
        <v>1703</v>
      </c>
      <c r="O9" s="40">
        <v>438</v>
      </c>
      <c r="P9" s="40">
        <v>426</v>
      </c>
      <c r="Q9" s="40">
        <v>394</v>
      </c>
      <c r="R9" s="40">
        <v>395</v>
      </c>
      <c r="S9" s="40">
        <f>SUM(O9:R9)</f>
        <v>1653</v>
      </c>
    </row>
    <row r="10" spans="1:19" s="18" customFormat="1" ht="17.25" customHeight="1" thickBot="1">
      <c r="A10" s="7"/>
      <c r="B10" s="39" t="s">
        <v>92</v>
      </c>
      <c r="C10" s="320">
        <f aca="true" t="shared" si="0" ref="C10:H10">C7-C8-C9</f>
        <v>-1346</v>
      </c>
      <c r="D10" s="40">
        <f t="shared" si="0"/>
        <v>151</v>
      </c>
      <c r="E10" s="40">
        <f t="shared" si="0"/>
        <v>188</v>
      </c>
      <c r="F10" s="40">
        <f t="shared" si="0"/>
        <v>41</v>
      </c>
      <c r="G10" s="40">
        <f t="shared" si="0"/>
        <v>148</v>
      </c>
      <c r="H10" s="40">
        <f t="shared" si="0"/>
        <v>189</v>
      </c>
      <c r="I10" s="40">
        <f>SUM(E10:H10)</f>
        <v>566</v>
      </c>
      <c r="J10" s="40">
        <f>J7-J8-J9</f>
        <v>191</v>
      </c>
      <c r="K10" s="40">
        <f>K7-K8-K9</f>
        <v>213</v>
      </c>
      <c r="L10" s="40">
        <f>L7-L8-L9</f>
        <v>100</v>
      </c>
      <c r="M10" s="40">
        <f>M7-M8-M9</f>
        <v>90</v>
      </c>
      <c r="N10" s="40">
        <f>SUM(J10:M10)</f>
        <v>594</v>
      </c>
      <c r="O10" s="40">
        <f>O7-O8-O9</f>
        <v>263</v>
      </c>
      <c r="P10" s="40">
        <f>P7-P8-P9</f>
        <v>140</v>
      </c>
      <c r="Q10" s="40">
        <f>Q7-Q8-Q9</f>
        <v>224</v>
      </c>
      <c r="R10" s="40">
        <f>R7-R8-R9</f>
        <v>183</v>
      </c>
      <c r="S10" s="40">
        <f>SUM(O10:R10)</f>
        <v>810</v>
      </c>
    </row>
    <row r="11" spans="1:19" ht="12" customHeight="1">
      <c r="A11" s="7"/>
      <c r="B11" s="21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1:19" ht="15" customHeight="1">
      <c r="A12" s="7"/>
      <c r="B12" s="13" t="s">
        <v>96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7.25" customHeight="1">
      <c r="A13" s="7"/>
      <c r="B13" s="28" t="s">
        <v>36</v>
      </c>
      <c r="C13" s="51">
        <f aca="true" t="shared" si="1" ref="C13:S13">+C9/C7*100</f>
        <v>324.3</v>
      </c>
      <c r="D13" s="51">
        <f t="shared" si="1"/>
        <v>92.7</v>
      </c>
      <c r="E13" s="51">
        <f t="shared" si="1"/>
        <v>72.5</v>
      </c>
      <c r="F13" s="51">
        <f t="shared" si="1"/>
        <v>92.6</v>
      </c>
      <c r="G13" s="51">
        <f t="shared" si="1"/>
        <v>76.2</v>
      </c>
      <c r="H13" s="51">
        <f t="shared" si="1"/>
        <v>71</v>
      </c>
      <c r="I13" s="51">
        <f t="shared" si="1"/>
        <v>77.4</v>
      </c>
      <c r="J13" s="51">
        <f t="shared" si="1"/>
        <v>70.2</v>
      </c>
      <c r="K13" s="51">
        <f t="shared" si="1"/>
        <v>68.2</v>
      </c>
      <c r="L13" s="51">
        <f t="shared" si="1"/>
        <v>80.2</v>
      </c>
      <c r="M13" s="51">
        <f t="shared" si="1"/>
        <v>81.4</v>
      </c>
      <c r="N13" s="51">
        <f t="shared" si="1"/>
        <v>74.1</v>
      </c>
      <c r="O13" s="51">
        <f t="shared" si="1"/>
        <v>62.5</v>
      </c>
      <c r="P13" s="51">
        <f t="shared" si="1"/>
        <v>75.3</v>
      </c>
      <c r="Q13" s="51">
        <f t="shared" si="1"/>
        <v>63.8</v>
      </c>
      <c r="R13" s="51">
        <f t="shared" si="1"/>
        <v>68.3</v>
      </c>
      <c r="S13" s="51">
        <f t="shared" si="1"/>
        <v>67.1</v>
      </c>
    </row>
    <row r="14" spans="1:19" ht="17.25" customHeight="1" thickBot="1">
      <c r="A14" s="7"/>
      <c r="B14" s="58" t="s">
        <v>37</v>
      </c>
      <c r="C14" s="62">
        <f aca="true" t="shared" si="2" ref="C14:S14">+C10/C7*100</f>
        <v>-224.3</v>
      </c>
      <c r="D14" s="62">
        <f t="shared" si="2"/>
        <v>7.3</v>
      </c>
      <c r="E14" s="62">
        <f t="shared" si="2"/>
        <v>27.5</v>
      </c>
      <c r="F14" s="62">
        <f t="shared" si="2"/>
        <v>7.4</v>
      </c>
      <c r="G14" s="62">
        <f t="shared" si="2"/>
        <v>23.8</v>
      </c>
      <c r="H14" s="62">
        <f t="shared" si="2"/>
        <v>29</v>
      </c>
      <c r="I14" s="62">
        <f t="shared" si="2"/>
        <v>22.6</v>
      </c>
      <c r="J14" s="62">
        <f t="shared" si="2"/>
        <v>29.8</v>
      </c>
      <c r="K14" s="62">
        <f t="shared" si="2"/>
        <v>31.8</v>
      </c>
      <c r="L14" s="62">
        <f t="shared" si="2"/>
        <v>19.8</v>
      </c>
      <c r="M14" s="62">
        <f t="shared" si="2"/>
        <v>18.6</v>
      </c>
      <c r="N14" s="62">
        <f t="shared" si="2"/>
        <v>25.9</v>
      </c>
      <c r="O14" s="62">
        <f t="shared" si="2"/>
        <v>37.5</v>
      </c>
      <c r="P14" s="62">
        <f t="shared" si="2"/>
        <v>24.7</v>
      </c>
      <c r="Q14" s="62">
        <f t="shared" si="2"/>
        <v>36.2</v>
      </c>
      <c r="R14" s="62">
        <f t="shared" si="2"/>
        <v>31.7</v>
      </c>
      <c r="S14" s="62">
        <f t="shared" si="2"/>
        <v>32.9</v>
      </c>
    </row>
    <row r="15" spans="1:19" ht="10.5" customHeight="1">
      <c r="A15" s="7"/>
      <c r="B15" s="211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1:19" s="18" customFormat="1" ht="17.25" customHeight="1">
      <c r="A16" s="7"/>
      <c r="B16" s="13" t="s">
        <v>152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s="18" customFormat="1" ht="17.25" customHeight="1">
      <c r="A17" s="7"/>
      <c r="B17" s="89" t="s">
        <v>153</v>
      </c>
      <c r="C17" s="258">
        <v>1706</v>
      </c>
      <c r="D17" s="258">
        <v>1449</v>
      </c>
      <c r="E17" s="258">
        <v>380</v>
      </c>
      <c r="F17" s="258">
        <v>377</v>
      </c>
      <c r="G17" s="258">
        <v>362</v>
      </c>
      <c r="H17" s="258">
        <v>357</v>
      </c>
      <c r="I17" s="90">
        <f>SUM(E17:H17)</f>
        <v>1476</v>
      </c>
      <c r="J17" s="258">
        <v>349</v>
      </c>
      <c r="K17" s="258">
        <v>332</v>
      </c>
      <c r="L17" s="258">
        <v>328</v>
      </c>
      <c r="M17" s="258">
        <v>329</v>
      </c>
      <c r="N17" s="90">
        <f>SUM(J17:M17)</f>
        <v>1338</v>
      </c>
      <c r="O17" s="258">
        <v>329</v>
      </c>
      <c r="P17" s="114">
        <v>326</v>
      </c>
      <c r="Q17" s="114">
        <v>330</v>
      </c>
      <c r="R17" s="114">
        <v>323</v>
      </c>
      <c r="S17" s="90">
        <v>1308</v>
      </c>
    </row>
    <row r="18" spans="1:19" s="18" customFormat="1" ht="17.25" customHeight="1">
      <c r="A18" s="7"/>
      <c r="B18" s="91" t="s">
        <v>154</v>
      </c>
      <c r="C18" s="270">
        <v>254</v>
      </c>
      <c r="D18" s="270">
        <v>195</v>
      </c>
      <c r="E18" s="270">
        <v>44</v>
      </c>
      <c r="F18" s="270">
        <v>50</v>
      </c>
      <c r="G18" s="270">
        <v>53</v>
      </c>
      <c r="H18" s="270">
        <v>86</v>
      </c>
      <c r="I18" s="92">
        <f>SUM(E18:H18)</f>
        <v>233</v>
      </c>
      <c r="J18" s="270">
        <v>58</v>
      </c>
      <c r="K18" s="270">
        <v>64</v>
      </c>
      <c r="L18" s="270">
        <v>66</v>
      </c>
      <c r="M18" s="270">
        <v>88</v>
      </c>
      <c r="N18" s="92">
        <f>SUM(J18:M18)</f>
        <v>276</v>
      </c>
      <c r="O18" s="270">
        <v>44</v>
      </c>
      <c r="P18" s="212">
        <v>51</v>
      </c>
      <c r="Q18" s="212">
        <v>56</v>
      </c>
      <c r="R18" s="212">
        <v>95</v>
      </c>
      <c r="S18" s="92">
        <v>246</v>
      </c>
    </row>
    <row r="19" spans="1:19" s="18" customFormat="1" ht="17.25" customHeight="1">
      <c r="A19" s="7"/>
      <c r="B19" s="91" t="s">
        <v>155</v>
      </c>
      <c r="C19" s="270">
        <v>153</v>
      </c>
      <c r="D19" s="270">
        <v>220</v>
      </c>
      <c r="E19" s="270">
        <v>16</v>
      </c>
      <c r="F19" s="270">
        <v>3</v>
      </c>
      <c r="G19" s="270">
        <v>40</v>
      </c>
      <c r="H19" s="270">
        <v>128</v>
      </c>
      <c r="I19" s="92">
        <f>SUM(E19:H19)</f>
        <v>187</v>
      </c>
      <c r="J19" s="270">
        <v>34</v>
      </c>
      <c r="K19" s="270">
        <v>60</v>
      </c>
      <c r="L19" s="270">
        <v>86</v>
      </c>
      <c r="M19" s="270">
        <v>41</v>
      </c>
      <c r="N19" s="92">
        <f>SUM(J19:M19)</f>
        <v>221</v>
      </c>
      <c r="O19" s="270">
        <v>34</v>
      </c>
      <c r="P19" s="212">
        <v>74</v>
      </c>
      <c r="Q19" s="212">
        <v>40</v>
      </c>
      <c r="R19" s="212">
        <v>207</v>
      </c>
      <c r="S19" s="92">
        <v>355</v>
      </c>
    </row>
    <row r="20" spans="1:19" s="18" customFormat="1" ht="17.25" customHeight="1">
      <c r="A20" s="7"/>
      <c r="B20" s="213" t="s">
        <v>156</v>
      </c>
      <c r="C20" s="270">
        <v>32</v>
      </c>
      <c r="D20" s="307">
        <v>52</v>
      </c>
      <c r="E20" s="307">
        <v>18</v>
      </c>
      <c r="F20" s="307">
        <v>23</v>
      </c>
      <c r="G20" s="307">
        <v>18</v>
      </c>
      <c r="H20" s="307">
        <v>30</v>
      </c>
      <c r="I20" s="245">
        <f>SUM(E20:H20)</f>
        <v>89</v>
      </c>
      <c r="J20" s="307">
        <v>32</v>
      </c>
      <c r="K20" s="307">
        <v>36</v>
      </c>
      <c r="L20" s="307">
        <v>28</v>
      </c>
      <c r="M20" s="307">
        <v>26</v>
      </c>
      <c r="N20" s="245">
        <f>SUM(J20:M20)</f>
        <v>122</v>
      </c>
      <c r="O20" s="307">
        <v>20</v>
      </c>
      <c r="P20" s="214">
        <v>27</v>
      </c>
      <c r="Q20" s="214">
        <v>12</v>
      </c>
      <c r="R20" s="214">
        <v>13</v>
      </c>
      <c r="S20" s="245">
        <v>72</v>
      </c>
    </row>
    <row r="21" spans="1:19" s="18" customFormat="1" ht="17.25" customHeight="1">
      <c r="A21" s="7"/>
      <c r="B21" s="28" t="s">
        <v>157</v>
      </c>
      <c r="C21" s="50">
        <f>SUM(C17:C20)</f>
        <v>2145</v>
      </c>
      <c r="D21" s="50">
        <f aca="true" t="shared" si="3" ref="D21:N21">SUM(D17:D20)</f>
        <v>1916</v>
      </c>
      <c r="E21" s="50">
        <f t="shared" si="3"/>
        <v>458</v>
      </c>
      <c r="F21" s="50">
        <f t="shared" si="3"/>
        <v>453</v>
      </c>
      <c r="G21" s="50">
        <f>SUM(G17:G20)</f>
        <v>473</v>
      </c>
      <c r="H21" s="50">
        <f t="shared" si="3"/>
        <v>601</v>
      </c>
      <c r="I21" s="50">
        <f t="shared" si="3"/>
        <v>1985</v>
      </c>
      <c r="J21" s="50">
        <f t="shared" si="3"/>
        <v>473</v>
      </c>
      <c r="K21" s="50">
        <f t="shared" si="3"/>
        <v>492</v>
      </c>
      <c r="L21" s="50">
        <f t="shared" si="3"/>
        <v>508</v>
      </c>
      <c r="M21" s="50">
        <f t="shared" si="3"/>
        <v>484</v>
      </c>
      <c r="N21" s="50">
        <f t="shared" si="3"/>
        <v>1957</v>
      </c>
      <c r="O21" s="50">
        <f>SUM(O17:O20)</f>
        <v>427</v>
      </c>
      <c r="P21" s="50">
        <f>SUM(P17:P20)</f>
        <v>478</v>
      </c>
      <c r="Q21" s="50">
        <f>SUM(Q17:Q20)</f>
        <v>438</v>
      </c>
      <c r="R21" s="50">
        <f>SUM(R17:R20)</f>
        <v>638</v>
      </c>
      <c r="S21" s="50">
        <f>SUM(S17:S20)</f>
        <v>1981</v>
      </c>
    </row>
    <row r="22" spans="1:19" s="18" customFormat="1" ht="17.25" customHeight="1">
      <c r="A22" s="7"/>
      <c r="B22" s="146" t="s">
        <v>158</v>
      </c>
      <c r="C22" s="262">
        <v>-656</v>
      </c>
      <c r="D22" s="262">
        <v>-365</v>
      </c>
      <c r="E22" s="262">
        <v>128</v>
      </c>
      <c r="F22" s="262">
        <v>43</v>
      </c>
      <c r="G22" s="262">
        <v>160</v>
      </c>
      <c r="H22" s="262">
        <v>101</v>
      </c>
      <c r="I22" s="136">
        <f>SUM(E22:H22)</f>
        <v>432</v>
      </c>
      <c r="J22" s="262">
        <v>160</v>
      </c>
      <c r="K22" s="262">
        <v>156</v>
      </c>
      <c r="L22" s="262">
        <v>-17</v>
      </c>
      <c r="M22" s="262">
        <v>6</v>
      </c>
      <c r="N22" s="136">
        <f>SUM(J22:M22)</f>
        <v>305</v>
      </c>
      <c r="O22" s="262">
        <v>101</v>
      </c>
      <c r="P22" s="215">
        <v>27</v>
      </c>
      <c r="Q22" s="215">
        <v>101</v>
      </c>
      <c r="R22" s="215">
        <v>-74</v>
      </c>
      <c r="S22" s="136">
        <v>155</v>
      </c>
    </row>
    <row r="23" spans="1:19" s="18" customFormat="1" ht="17.25" customHeight="1">
      <c r="A23" s="7"/>
      <c r="B23" s="273" t="s">
        <v>174</v>
      </c>
      <c r="C23" s="262">
        <v>-92</v>
      </c>
      <c r="D23" s="270">
        <v>286</v>
      </c>
      <c r="E23" s="270">
        <v>-27</v>
      </c>
      <c r="F23" s="270">
        <v>0</v>
      </c>
      <c r="G23" s="270">
        <v>-33</v>
      </c>
      <c r="H23" s="270">
        <v>-45</v>
      </c>
      <c r="I23" s="136">
        <f>SUM(E23:H23)</f>
        <v>-105</v>
      </c>
      <c r="J23" s="270">
        <v>-4</v>
      </c>
      <c r="K23" s="270">
        <v>0</v>
      </c>
      <c r="L23" s="270">
        <v>15</v>
      </c>
      <c r="M23" s="270">
        <v>-8</v>
      </c>
      <c r="N23" s="136">
        <f>SUM(J23:M23)</f>
        <v>3</v>
      </c>
      <c r="O23" s="270">
        <v>170</v>
      </c>
      <c r="P23" s="212">
        <v>69</v>
      </c>
      <c r="Q23" s="212">
        <v>102</v>
      </c>
      <c r="R23" s="212">
        <v>20</v>
      </c>
      <c r="S23" s="136">
        <v>361</v>
      </c>
    </row>
    <row r="24" spans="1:19" s="18" customFormat="1" ht="17.25" customHeight="1">
      <c r="A24" s="7"/>
      <c r="B24" s="27" t="s">
        <v>10</v>
      </c>
      <c r="C24" s="270">
        <v>-797</v>
      </c>
      <c r="D24" s="270">
        <v>233</v>
      </c>
      <c r="E24" s="270">
        <v>125</v>
      </c>
      <c r="F24" s="270">
        <v>55</v>
      </c>
      <c r="G24" s="270">
        <v>22</v>
      </c>
      <c r="H24" s="270">
        <v>-5</v>
      </c>
      <c r="I24" s="92">
        <f>SUM(E24:H24)</f>
        <v>197</v>
      </c>
      <c r="J24" s="270">
        <v>11</v>
      </c>
      <c r="K24" s="270">
        <v>21</v>
      </c>
      <c r="L24" s="270">
        <v>-1</v>
      </c>
      <c r="M24" s="270">
        <v>1</v>
      </c>
      <c r="N24" s="92">
        <f>SUM(J24:M24)</f>
        <v>32</v>
      </c>
      <c r="O24" s="270">
        <v>3</v>
      </c>
      <c r="P24" s="212">
        <v>-8</v>
      </c>
      <c r="Q24" s="212">
        <v>-23</v>
      </c>
      <c r="R24" s="212">
        <v>-6</v>
      </c>
      <c r="S24" s="92">
        <v>-34</v>
      </c>
    </row>
    <row r="25" spans="1:19" ht="17.25" customHeight="1" thickBot="1">
      <c r="A25" s="7"/>
      <c r="B25" s="26" t="s">
        <v>11</v>
      </c>
      <c r="C25" s="40">
        <f aca="true" t="shared" si="4" ref="C25:S25">IF((SUM(C21:C24))=C7,(SUM(C21:C24)),"Error")</f>
        <v>600</v>
      </c>
      <c r="D25" s="40">
        <f t="shared" si="4"/>
        <v>2070</v>
      </c>
      <c r="E25" s="40">
        <f t="shared" si="4"/>
        <v>684</v>
      </c>
      <c r="F25" s="40">
        <f t="shared" si="4"/>
        <v>551</v>
      </c>
      <c r="G25" s="40">
        <f t="shared" si="4"/>
        <v>622</v>
      </c>
      <c r="H25" s="40">
        <f t="shared" si="4"/>
        <v>652</v>
      </c>
      <c r="I25" s="40">
        <f t="shared" si="4"/>
        <v>2509</v>
      </c>
      <c r="J25" s="40">
        <f t="shared" si="4"/>
        <v>640</v>
      </c>
      <c r="K25" s="40">
        <f t="shared" si="4"/>
        <v>669</v>
      </c>
      <c r="L25" s="40">
        <f t="shared" si="4"/>
        <v>505</v>
      </c>
      <c r="M25" s="40">
        <f t="shared" si="4"/>
        <v>483</v>
      </c>
      <c r="N25" s="40">
        <f t="shared" si="4"/>
        <v>2297</v>
      </c>
      <c r="O25" s="40">
        <f t="shared" si="4"/>
        <v>701</v>
      </c>
      <c r="P25" s="40">
        <f t="shared" si="4"/>
        <v>566</v>
      </c>
      <c r="Q25" s="40">
        <f t="shared" si="4"/>
        <v>618</v>
      </c>
      <c r="R25" s="40">
        <f t="shared" si="4"/>
        <v>578</v>
      </c>
      <c r="S25" s="40">
        <f t="shared" si="4"/>
        <v>2463</v>
      </c>
    </row>
    <row r="26" spans="1:19" ht="15" customHeight="1">
      <c r="A26" s="7"/>
      <c r="B26" s="211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</row>
    <row r="27" spans="1:19" ht="17.25" customHeight="1">
      <c r="A27" s="7"/>
      <c r="B27" s="13" t="s">
        <v>188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8" customFormat="1" ht="17.25" customHeight="1">
      <c r="A28" s="7"/>
      <c r="B28" s="383" t="s">
        <v>150</v>
      </c>
      <c r="C28" s="264">
        <v>1706</v>
      </c>
      <c r="D28" s="264">
        <v>1449</v>
      </c>
      <c r="E28" s="384">
        <v>380</v>
      </c>
      <c r="F28" s="384">
        <v>377</v>
      </c>
      <c r="G28" s="384">
        <v>362</v>
      </c>
      <c r="H28" s="384">
        <v>357</v>
      </c>
      <c r="I28" s="43">
        <f>SUM(E28:H28)</f>
        <v>1476</v>
      </c>
      <c r="J28" s="384">
        <v>349</v>
      </c>
      <c r="K28" s="384">
        <v>332</v>
      </c>
      <c r="L28" s="384">
        <v>328</v>
      </c>
      <c r="M28" s="384">
        <v>329</v>
      </c>
      <c r="N28" s="43">
        <f>SUM(J28:M28)</f>
        <v>1338</v>
      </c>
      <c r="O28" s="101">
        <v>329</v>
      </c>
      <c r="P28" s="101">
        <v>326</v>
      </c>
      <c r="Q28" s="101">
        <v>330</v>
      </c>
      <c r="R28" s="101">
        <v>323</v>
      </c>
      <c r="S28" s="43">
        <f>SUM(O28:R28)</f>
        <v>1308</v>
      </c>
    </row>
    <row r="29" spans="1:19" s="18" customFormat="1" ht="17.25" customHeight="1">
      <c r="A29" s="7"/>
      <c r="B29" s="286" t="s">
        <v>187</v>
      </c>
      <c r="C29" s="255">
        <v>552</v>
      </c>
      <c r="D29" s="255">
        <v>592</v>
      </c>
      <c r="E29" s="385">
        <v>104</v>
      </c>
      <c r="F29" s="385">
        <v>102</v>
      </c>
      <c r="G29" s="385">
        <v>127</v>
      </c>
      <c r="H29" s="385">
        <v>254</v>
      </c>
      <c r="I29" s="46">
        <f>SUM(E29:H29)</f>
        <v>587</v>
      </c>
      <c r="J29" s="385">
        <v>147</v>
      </c>
      <c r="K29" s="385">
        <v>179</v>
      </c>
      <c r="L29" s="385">
        <v>194</v>
      </c>
      <c r="M29" s="385">
        <v>162</v>
      </c>
      <c r="N29" s="46">
        <f>SUM(J29:M29)</f>
        <v>682</v>
      </c>
      <c r="O29" s="97">
        <v>120</v>
      </c>
      <c r="P29" s="97">
        <v>172</v>
      </c>
      <c r="Q29" s="97">
        <v>121</v>
      </c>
      <c r="R29" s="97">
        <v>325</v>
      </c>
      <c r="S29" s="46">
        <f>SUM(O29:R29)</f>
        <v>738</v>
      </c>
    </row>
    <row r="30" spans="1:19" s="18" customFormat="1" ht="17.25" customHeight="1">
      <c r="A30" s="7"/>
      <c r="B30" s="382" t="s">
        <v>10</v>
      </c>
      <c r="C30" s="254">
        <v>-1658</v>
      </c>
      <c r="D30" s="254">
        <v>29</v>
      </c>
      <c r="E30" s="386">
        <v>200</v>
      </c>
      <c r="F30" s="386">
        <v>72</v>
      </c>
      <c r="G30" s="386">
        <v>133</v>
      </c>
      <c r="H30" s="386">
        <v>41</v>
      </c>
      <c r="I30" s="48">
        <f>SUM(E30:H30)</f>
        <v>446</v>
      </c>
      <c r="J30" s="386">
        <v>144</v>
      </c>
      <c r="K30" s="386">
        <v>158</v>
      </c>
      <c r="L30" s="386">
        <v>-17</v>
      </c>
      <c r="M30" s="386">
        <v>-8</v>
      </c>
      <c r="N30" s="48">
        <f>SUM(J30:M30)</f>
        <v>277</v>
      </c>
      <c r="O30" s="96">
        <v>252</v>
      </c>
      <c r="P30" s="96">
        <v>68</v>
      </c>
      <c r="Q30" s="96">
        <v>167</v>
      </c>
      <c r="R30" s="96">
        <v>-70</v>
      </c>
      <c r="S30" s="48">
        <f>SUM(O30:R30)</f>
        <v>417</v>
      </c>
    </row>
    <row r="31" spans="1:19" s="18" customFormat="1" ht="17.25" customHeight="1" thickBot="1">
      <c r="A31" s="7"/>
      <c r="B31" s="26" t="s">
        <v>11</v>
      </c>
      <c r="C31" s="40">
        <f aca="true" t="shared" si="5" ref="C31:Q31">IF((SUM(C28:C30))=C7,(SUM(C28:C30)),"Error")</f>
        <v>600</v>
      </c>
      <c r="D31" s="40">
        <f t="shared" si="5"/>
        <v>2070</v>
      </c>
      <c r="E31" s="40">
        <f t="shared" si="5"/>
        <v>684</v>
      </c>
      <c r="F31" s="40">
        <f t="shared" si="5"/>
        <v>551</v>
      </c>
      <c r="G31" s="40">
        <f t="shared" si="5"/>
        <v>622</v>
      </c>
      <c r="H31" s="40">
        <f t="shared" si="5"/>
        <v>652</v>
      </c>
      <c r="I31" s="40">
        <f t="shared" si="5"/>
        <v>2509</v>
      </c>
      <c r="J31" s="40">
        <f t="shared" si="5"/>
        <v>640</v>
      </c>
      <c r="K31" s="40">
        <f t="shared" si="5"/>
        <v>669</v>
      </c>
      <c r="L31" s="40">
        <f t="shared" si="5"/>
        <v>505</v>
      </c>
      <c r="M31" s="40">
        <f t="shared" si="5"/>
        <v>483</v>
      </c>
      <c r="N31" s="40">
        <f t="shared" si="5"/>
        <v>2297</v>
      </c>
      <c r="O31" s="40">
        <f t="shared" si="5"/>
        <v>701</v>
      </c>
      <c r="P31" s="40">
        <f t="shared" si="5"/>
        <v>566</v>
      </c>
      <c r="Q31" s="40">
        <f t="shared" si="5"/>
        <v>618</v>
      </c>
      <c r="R31" s="40">
        <f>SUM(R28:R30)</f>
        <v>578</v>
      </c>
      <c r="S31" s="40">
        <f>SUM(S28:S30)</f>
        <v>2463</v>
      </c>
    </row>
    <row r="32" spans="1:19" ht="12" customHeight="1">
      <c r="A32" s="7"/>
      <c r="B32" s="211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1:19" ht="17.25" customHeight="1">
      <c r="A33" s="7"/>
      <c r="B33" s="13" t="s">
        <v>159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</row>
    <row r="34" spans="1:19" s="18" customFormat="1" ht="17.25" customHeight="1" thickBot="1">
      <c r="A34" s="7"/>
      <c r="B34" s="58" t="s">
        <v>160</v>
      </c>
      <c r="C34" s="321">
        <f>(C21/C51)*10</f>
        <v>46</v>
      </c>
      <c r="D34" s="321">
        <f>(D21/D51)*10</f>
        <v>50</v>
      </c>
      <c r="E34" s="321">
        <f>(E21*4/E51)*10</f>
        <v>48</v>
      </c>
      <c r="F34" s="321">
        <f>(F21*4/F51)*10</f>
        <v>46</v>
      </c>
      <c r="G34" s="321">
        <f>(G21*4/G51)*10</f>
        <v>50</v>
      </c>
      <c r="H34" s="321">
        <f>(H21*4/H51)*10</f>
        <v>62</v>
      </c>
      <c r="I34" s="321">
        <f>(I21/I51)*10</f>
        <v>52</v>
      </c>
      <c r="J34" s="321">
        <f>(J21*4/J51)*10</f>
        <v>49</v>
      </c>
      <c r="K34" s="321">
        <f>(K21*4/K51)*10</f>
        <v>51</v>
      </c>
      <c r="L34" s="321">
        <f>(L21*4/L51)*10</f>
        <v>56</v>
      </c>
      <c r="M34" s="321">
        <f>(M21*4/M51)*10</f>
        <v>53</v>
      </c>
      <c r="N34" s="321">
        <f>(N21/N51)*10</f>
        <v>52</v>
      </c>
      <c r="O34" s="321">
        <f>(O21*4/O51)*10</f>
        <v>47</v>
      </c>
      <c r="P34" s="321">
        <f>(P21*4/P51)*10</f>
        <v>53</v>
      </c>
      <c r="Q34" s="321">
        <f>(Q21*4/Q51)*10</f>
        <v>48</v>
      </c>
      <c r="R34" s="321">
        <f>(R21*4/R51)*10</f>
        <v>69</v>
      </c>
      <c r="S34" s="321">
        <f>(S21/S51)*10</f>
        <v>54</v>
      </c>
    </row>
    <row r="35" spans="1:19" ht="12" customHeight="1">
      <c r="A35" s="7"/>
      <c r="B35" s="211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1:19" s="18" customFormat="1" ht="17.25" customHeight="1">
      <c r="A36" s="7"/>
      <c r="B36" s="3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spans="1:19" ht="21.75" customHeight="1" thickBot="1">
      <c r="A37" s="7"/>
      <c r="B37" s="9" t="s">
        <v>161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24" customHeight="1" thickTop="1">
      <c r="A38" s="7"/>
      <c r="B38" s="13" t="s">
        <v>26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18" customFormat="1" ht="17.25" customHeight="1">
      <c r="A39" s="7"/>
      <c r="B39" s="354" t="s">
        <v>189</v>
      </c>
      <c r="C39" s="305">
        <v>31.6</v>
      </c>
      <c r="D39" s="305">
        <v>25.3</v>
      </c>
      <c r="E39" s="217">
        <v>25</v>
      </c>
      <c r="F39" s="217">
        <v>24.5</v>
      </c>
      <c r="G39" s="217">
        <v>23.3</v>
      </c>
      <c r="H39" s="217">
        <v>27.3</v>
      </c>
      <c r="I39" s="51">
        <f aca="true" t="shared" si="6" ref="I39:I44">+H39</f>
        <v>27.3</v>
      </c>
      <c r="J39" s="217">
        <v>27.2</v>
      </c>
      <c r="K39" s="217">
        <v>25.5</v>
      </c>
      <c r="L39" s="217">
        <v>25.6</v>
      </c>
      <c r="M39" s="217">
        <v>24.9</v>
      </c>
      <c r="N39" s="51">
        <f aca="true" t="shared" si="7" ref="N39:N44">+M39</f>
        <v>24.9</v>
      </c>
      <c r="O39" s="217">
        <v>25</v>
      </c>
      <c r="P39" s="217">
        <v>24.8</v>
      </c>
      <c r="Q39" s="217">
        <v>24.2</v>
      </c>
      <c r="R39" s="217">
        <v>25.1</v>
      </c>
      <c r="S39" s="51">
        <f aca="true" t="shared" si="8" ref="S39:S47">+R39</f>
        <v>25.1</v>
      </c>
    </row>
    <row r="40" spans="1:19" s="18" customFormat="1" ht="17.25" customHeight="1">
      <c r="A40" s="7"/>
      <c r="B40" s="354" t="s">
        <v>190</v>
      </c>
      <c r="C40" s="305">
        <v>36.6</v>
      </c>
      <c r="D40" s="305">
        <v>32.2</v>
      </c>
      <c r="E40" s="217">
        <v>33.6</v>
      </c>
      <c r="F40" s="217">
        <v>34.7</v>
      </c>
      <c r="G40" s="217">
        <v>32.4</v>
      </c>
      <c r="H40" s="217">
        <v>30.8</v>
      </c>
      <c r="I40" s="51">
        <f t="shared" si="6"/>
        <v>30.8</v>
      </c>
      <c r="J40" s="217">
        <v>30</v>
      </c>
      <c r="K40" s="217">
        <v>28.5</v>
      </c>
      <c r="L40" s="217">
        <v>27.2</v>
      </c>
      <c r="M40" s="217">
        <v>28.4</v>
      </c>
      <c r="N40" s="51">
        <f t="shared" si="7"/>
        <v>28.4</v>
      </c>
      <c r="O40" s="217">
        <v>27.5</v>
      </c>
      <c r="P40" s="217">
        <v>28.9</v>
      </c>
      <c r="Q40" s="217">
        <v>28.5</v>
      </c>
      <c r="R40" s="217">
        <v>27.9</v>
      </c>
      <c r="S40" s="51">
        <f t="shared" si="8"/>
        <v>27.9</v>
      </c>
    </row>
    <row r="41" spans="1:19" s="18" customFormat="1" ht="17.25" customHeight="1">
      <c r="A41" s="7"/>
      <c r="B41" s="354" t="s">
        <v>191</v>
      </c>
      <c r="C41" s="305">
        <v>36.2</v>
      </c>
      <c r="D41" s="305">
        <v>41.5</v>
      </c>
      <c r="E41" s="217">
        <v>42.2</v>
      </c>
      <c r="F41" s="217">
        <v>41.3</v>
      </c>
      <c r="G41" s="217">
        <v>41.3</v>
      </c>
      <c r="H41" s="217">
        <v>43.4</v>
      </c>
      <c r="I41" s="51">
        <f t="shared" si="6"/>
        <v>43.4</v>
      </c>
      <c r="J41" s="217">
        <v>45.5</v>
      </c>
      <c r="K41" s="217">
        <v>45.5</v>
      </c>
      <c r="L41" s="217">
        <v>46.5</v>
      </c>
      <c r="M41" s="217">
        <v>47.1</v>
      </c>
      <c r="N41" s="51">
        <f t="shared" si="7"/>
        <v>47.1</v>
      </c>
      <c r="O41" s="217">
        <v>47.6</v>
      </c>
      <c r="P41" s="217">
        <v>47.8</v>
      </c>
      <c r="Q41" s="217">
        <v>48.8</v>
      </c>
      <c r="R41" s="217">
        <v>48.6</v>
      </c>
      <c r="S41" s="51">
        <f t="shared" si="8"/>
        <v>48.6</v>
      </c>
    </row>
    <row r="42" spans="1:19" s="18" customFormat="1" ht="17.25" customHeight="1">
      <c r="A42" s="7"/>
      <c r="B42" s="354" t="s">
        <v>192</v>
      </c>
      <c r="C42" s="305">
        <v>15.3</v>
      </c>
      <c r="D42" s="305">
        <v>18.4</v>
      </c>
      <c r="E42" s="217">
        <v>19.8</v>
      </c>
      <c r="F42" s="217">
        <v>19.8</v>
      </c>
      <c r="G42" s="217">
        <v>17.8</v>
      </c>
      <c r="H42" s="217">
        <v>18.3</v>
      </c>
      <c r="I42" s="51">
        <f t="shared" si="6"/>
        <v>18.3</v>
      </c>
      <c r="J42" s="217">
        <v>18.4</v>
      </c>
      <c r="K42" s="217">
        <v>17.6</v>
      </c>
      <c r="L42" s="217">
        <v>17.7</v>
      </c>
      <c r="M42" s="217">
        <v>19</v>
      </c>
      <c r="N42" s="51">
        <f t="shared" si="7"/>
        <v>19</v>
      </c>
      <c r="O42" s="217">
        <v>18.6</v>
      </c>
      <c r="P42" s="217">
        <v>20.2</v>
      </c>
      <c r="Q42" s="217">
        <v>21.5</v>
      </c>
      <c r="R42" s="217">
        <v>23.8</v>
      </c>
      <c r="S42" s="51">
        <f t="shared" si="8"/>
        <v>23.8</v>
      </c>
    </row>
    <row r="43" spans="1:19" s="18" customFormat="1" ht="17.25" customHeight="1">
      <c r="A43" s="7"/>
      <c r="B43" s="354" t="s">
        <v>193</v>
      </c>
      <c r="C43" s="305">
        <v>6.4</v>
      </c>
      <c r="D43" s="305">
        <v>10</v>
      </c>
      <c r="E43" s="217">
        <v>11.9</v>
      </c>
      <c r="F43" s="217">
        <v>11.6</v>
      </c>
      <c r="G43" s="217">
        <v>13</v>
      </c>
      <c r="H43" s="217">
        <v>14.6</v>
      </c>
      <c r="I43" s="51">
        <f t="shared" si="6"/>
        <v>14.6</v>
      </c>
      <c r="J43" s="217">
        <v>15.1</v>
      </c>
      <c r="K43" s="217">
        <v>15.2</v>
      </c>
      <c r="L43" s="217">
        <v>14.4</v>
      </c>
      <c r="M43" s="217">
        <v>14.6</v>
      </c>
      <c r="N43" s="51">
        <f t="shared" si="7"/>
        <v>14.6</v>
      </c>
      <c r="O43" s="217">
        <v>15.3</v>
      </c>
      <c r="P43" s="217">
        <v>15.1</v>
      </c>
      <c r="Q43" s="217">
        <v>16.1</v>
      </c>
      <c r="R43" s="217">
        <v>16.1</v>
      </c>
      <c r="S43" s="51">
        <f t="shared" si="8"/>
        <v>16.1</v>
      </c>
    </row>
    <row r="44" spans="1:19" s="18" customFormat="1" ht="17.25" customHeight="1">
      <c r="A44" s="7"/>
      <c r="B44" s="354" t="s">
        <v>194</v>
      </c>
      <c r="C44" s="305">
        <v>38.1</v>
      </c>
      <c r="D44" s="305">
        <v>51.9</v>
      </c>
      <c r="E44" s="217">
        <v>54.5</v>
      </c>
      <c r="F44" s="217">
        <v>52.3</v>
      </c>
      <c r="G44" s="217">
        <v>54.1</v>
      </c>
      <c r="H44" s="217">
        <v>54.2</v>
      </c>
      <c r="I44" s="51">
        <f t="shared" si="6"/>
        <v>54.2</v>
      </c>
      <c r="J44" s="217">
        <v>55.7</v>
      </c>
      <c r="K44" s="217">
        <v>53</v>
      </c>
      <c r="L44" s="217">
        <v>50.8</v>
      </c>
      <c r="M44" s="217">
        <v>51.5</v>
      </c>
      <c r="N44" s="51">
        <f t="shared" si="7"/>
        <v>51.5</v>
      </c>
      <c r="O44" s="217">
        <v>58.7</v>
      </c>
      <c r="P44" s="217">
        <v>58.3</v>
      </c>
      <c r="Q44" s="217">
        <v>61.2</v>
      </c>
      <c r="R44" s="217">
        <v>64</v>
      </c>
      <c r="S44" s="51">
        <f t="shared" si="8"/>
        <v>64</v>
      </c>
    </row>
    <row r="45" spans="1:19" s="18" customFormat="1" ht="17.25" customHeight="1">
      <c r="A45" s="7"/>
      <c r="B45" s="354" t="s">
        <v>195</v>
      </c>
      <c r="C45" s="305">
        <v>108</v>
      </c>
      <c r="D45" s="305">
        <v>124.9</v>
      </c>
      <c r="E45" s="217">
        <v>129.5</v>
      </c>
      <c r="F45" s="217">
        <v>124.6</v>
      </c>
      <c r="G45" s="217">
        <v>126.5</v>
      </c>
      <c r="H45" s="217">
        <v>122.2</v>
      </c>
      <c r="I45" s="51">
        <f>+H45</f>
        <v>122.2</v>
      </c>
      <c r="J45" s="217">
        <v>129.4</v>
      </c>
      <c r="K45" s="217">
        <v>124.1</v>
      </c>
      <c r="L45" s="217">
        <v>117.1</v>
      </c>
      <c r="M45" s="217">
        <v>116</v>
      </c>
      <c r="N45" s="51">
        <f>+M45</f>
        <v>116</v>
      </c>
      <c r="O45" s="217">
        <v>105.1</v>
      </c>
      <c r="P45" s="217">
        <v>103</v>
      </c>
      <c r="Q45" s="217">
        <v>106</v>
      </c>
      <c r="R45" s="217">
        <v>105.4</v>
      </c>
      <c r="S45" s="51">
        <f t="shared" si="8"/>
        <v>105.4</v>
      </c>
    </row>
    <row r="46" spans="1:19" s="18" customFormat="1" ht="17.25" customHeight="1">
      <c r="A46" s="7"/>
      <c r="B46" s="354" t="s">
        <v>196</v>
      </c>
      <c r="C46" s="305">
        <v>58.4</v>
      </c>
      <c r="D46" s="305">
        <v>62.6</v>
      </c>
      <c r="E46" s="217">
        <v>66.1</v>
      </c>
      <c r="F46" s="217">
        <v>63</v>
      </c>
      <c r="G46" s="217">
        <v>63.9</v>
      </c>
      <c r="H46" s="217">
        <v>63.4</v>
      </c>
      <c r="I46" s="51">
        <f>+H46</f>
        <v>63.4</v>
      </c>
      <c r="J46" s="217">
        <v>64.8</v>
      </c>
      <c r="K46" s="217">
        <v>63.6</v>
      </c>
      <c r="L46" s="217">
        <v>58.9</v>
      </c>
      <c r="M46" s="217">
        <v>57.4</v>
      </c>
      <c r="N46" s="51">
        <f>+M46</f>
        <v>57.4</v>
      </c>
      <c r="O46" s="217">
        <v>57.7</v>
      </c>
      <c r="P46" s="217">
        <v>57.5</v>
      </c>
      <c r="Q46" s="217">
        <v>57.4</v>
      </c>
      <c r="R46" s="217">
        <v>55.2</v>
      </c>
      <c r="S46" s="51">
        <f t="shared" si="8"/>
        <v>55.2</v>
      </c>
    </row>
    <row r="47" spans="1:19" s="18" customFormat="1" ht="17.25" customHeight="1">
      <c r="A47" s="7"/>
      <c r="B47" s="25" t="s">
        <v>4</v>
      </c>
      <c r="C47" s="306">
        <f>5.1+18.8+19</f>
        <v>42.9</v>
      </c>
      <c r="D47" s="306">
        <f>6.2+0.3</f>
        <v>6.5</v>
      </c>
      <c r="E47" s="70">
        <f>6.8+0.4</f>
        <v>7.2</v>
      </c>
      <c r="F47" s="70">
        <f>6.4+0.4</f>
        <v>6.8</v>
      </c>
      <c r="G47" s="70">
        <f>7.6+0.3</f>
        <v>7.9</v>
      </c>
      <c r="H47" s="70">
        <f>7.4+0.4</f>
        <v>7.8</v>
      </c>
      <c r="I47" s="218">
        <f>+H47</f>
        <v>7.8</v>
      </c>
      <c r="J47" s="70">
        <f>7+0.3</f>
        <v>7.3</v>
      </c>
      <c r="K47" s="70">
        <f>5.4+0.8</f>
        <v>6.2</v>
      </c>
      <c r="L47" s="70">
        <f>6.1+0.9</f>
        <v>7</v>
      </c>
      <c r="M47" s="70">
        <f>5.4+0.9</f>
        <v>6.3</v>
      </c>
      <c r="N47" s="218">
        <f>+M47</f>
        <v>6.3</v>
      </c>
      <c r="O47" s="70">
        <v>5.3</v>
      </c>
      <c r="P47" s="70">
        <v>4.9</v>
      </c>
      <c r="Q47" s="70">
        <v>5.2</v>
      </c>
      <c r="R47" s="70">
        <v>5.5</v>
      </c>
      <c r="S47" s="218">
        <f t="shared" si="8"/>
        <v>5.5</v>
      </c>
    </row>
    <row r="48" spans="1:19" s="18" customFormat="1" ht="17.25" customHeight="1" thickBot="1">
      <c r="A48" s="7"/>
      <c r="B48" s="26" t="s">
        <v>25</v>
      </c>
      <c r="C48" s="219">
        <f>SUM(C39:C47)</f>
        <v>373.5</v>
      </c>
      <c r="D48" s="219">
        <f aca="true" t="shared" si="9" ref="D48:S48">SUM(D39:D47)</f>
        <v>373.3</v>
      </c>
      <c r="E48" s="219">
        <f t="shared" si="9"/>
        <v>389.8</v>
      </c>
      <c r="F48" s="219">
        <f t="shared" si="9"/>
        <v>378.6</v>
      </c>
      <c r="G48" s="219">
        <f t="shared" si="9"/>
        <v>380.2</v>
      </c>
      <c r="H48" s="219">
        <f t="shared" si="9"/>
        <v>382</v>
      </c>
      <c r="I48" s="219">
        <f t="shared" si="9"/>
        <v>382</v>
      </c>
      <c r="J48" s="219">
        <f>SUM(J39:J47)</f>
        <v>393.4</v>
      </c>
      <c r="K48" s="219">
        <f t="shared" si="9"/>
        <v>379.2</v>
      </c>
      <c r="L48" s="219">
        <f t="shared" si="9"/>
        <v>365.2</v>
      </c>
      <c r="M48" s="219">
        <f t="shared" si="9"/>
        <v>365.2</v>
      </c>
      <c r="N48" s="219">
        <f>SUM(N39:N47)</f>
        <v>365.2</v>
      </c>
      <c r="O48" s="219">
        <f t="shared" si="9"/>
        <v>360.8</v>
      </c>
      <c r="P48" s="219">
        <f t="shared" si="9"/>
        <v>360.5</v>
      </c>
      <c r="Q48" s="219">
        <f t="shared" si="9"/>
        <v>368.9</v>
      </c>
      <c r="R48" s="219">
        <f t="shared" si="9"/>
        <v>371.6</v>
      </c>
      <c r="S48" s="219">
        <f t="shared" si="9"/>
        <v>371.6</v>
      </c>
    </row>
    <row r="49" spans="1:19" ht="12" customHeight="1">
      <c r="A49" s="7"/>
      <c r="B49" s="211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7.25" customHeight="1">
      <c r="A50" s="7"/>
      <c r="B50" s="74" t="s">
        <v>141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</row>
    <row r="51" spans="1:19" s="18" customFormat="1" ht="17.25" customHeight="1" thickBot="1">
      <c r="A51" s="7"/>
      <c r="B51" s="200" t="s">
        <v>142</v>
      </c>
      <c r="C51" s="201">
        <v>467.8</v>
      </c>
      <c r="D51" s="201">
        <v>380.2</v>
      </c>
      <c r="E51" s="201">
        <v>380.3</v>
      </c>
      <c r="F51" s="201">
        <v>392.7</v>
      </c>
      <c r="G51" s="201">
        <v>378.7</v>
      </c>
      <c r="H51" s="201">
        <v>386</v>
      </c>
      <c r="I51" s="201">
        <v>384.5</v>
      </c>
      <c r="J51" s="201">
        <v>389.5</v>
      </c>
      <c r="K51" s="201">
        <v>385.8</v>
      </c>
      <c r="L51" s="201">
        <v>364.5</v>
      </c>
      <c r="M51" s="201">
        <v>365.1</v>
      </c>
      <c r="N51" s="201">
        <v>376.2</v>
      </c>
      <c r="O51" s="201">
        <v>366.9</v>
      </c>
      <c r="P51" s="201">
        <v>361.5</v>
      </c>
      <c r="Q51" s="201">
        <v>367.3</v>
      </c>
      <c r="R51" s="201">
        <v>371.5</v>
      </c>
      <c r="S51" s="201">
        <v>366.8</v>
      </c>
    </row>
    <row r="52" spans="1:19" ht="12" customHeight="1">
      <c r="A52" s="7"/>
      <c r="B52" s="21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3.5" customHeight="1">
      <c r="A53" s="7"/>
      <c r="B53" s="74" t="s">
        <v>163</v>
      </c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</row>
    <row r="54" spans="1:19" ht="17.25" customHeight="1">
      <c r="A54" s="7"/>
      <c r="B54" s="220" t="s">
        <v>69</v>
      </c>
      <c r="C54" s="275">
        <v>105.9</v>
      </c>
      <c r="D54" s="275">
        <v>94.8</v>
      </c>
      <c r="E54" s="221">
        <v>100.1</v>
      </c>
      <c r="F54" s="221">
        <v>101.3</v>
      </c>
      <c r="G54" s="221">
        <v>96.4</v>
      </c>
      <c r="H54" s="222">
        <v>100.8</v>
      </c>
      <c r="I54" s="223">
        <f>+H54</f>
        <v>100.8</v>
      </c>
      <c r="J54" s="222">
        <v>102.4</v>
      </c>
      <c r="K54" s="222">
        <v>97.4</v>
      </c>
      <c r="L54" s="222">
        <v>95.9</v>
      </c>
      <c r="M54" s="222">
        <v>93.5</v>
      </c>
      <c r="N54" s="249">
        <f>+M54</f>
        <v>93.5</v>
      </c>
      <c r="O54" s="222">
        <v>83.5</v>
      </c>
      <c r="P54" s="222">
        <v>93.5</v>
      </c>
      <c r="Q54" s="222">
        <v>95.8</v>
      </c>
      <c r="R54" s="222">
        <v>96.5</v>
      </c>
      <c r="S54" s="249">
        <f>+R54</f>
        <v>96.5</v>
      </c>
    </row>
    <row r="55" spans="1:19" ht="17.25" customHeight="1">
      <c r="A55" s="7"/>
      <c r="B55" s="224" t="s">
        <v>70</v>
      </c>
      <c r="C55" s="276">
        <v>56.5</v>
      </c>
      <c r="D55" s="276">
        <v>61.5</v>
      </c>
      <c r="E55" s="225">
        <v>62.9</v>
      </c>
      <c r="F55" s="225">
        <v>59.1</v>
      </c>
      <c r="G55" s="225">
        <v>62.3</v>
      </c>
      <c r="H55" s="226">
        <v>58.7</v>
      </c>
      <c r="I55" s="227">
        <f>+H55</f>
        <v>58.7</v>
      </c>
      <c r="J55" s="226">
        <v>63.2</v>
      </c>
      <c r="K55" s="226">
        <v>59.9</v>
      </c>
      <c r="L55" s="222">
        <v>56</v>
      </c>
      <c r="M55" s="222">
        <v>59</v>
      </c>
      <c r="N55" s="228">
        <f>+M55</f>
        <v>59</v>
      </c>
      <c r="O55" s="226">
        <v>44.5</v>
      </c>
      <c r="P55" s="226">
        <v>47.3</v>
      </c>
      <c r="Q55" s="226">
        <v>47.5</v>
      </c>
      <c r="R55" s="226">
        <v>47.4</v>
      </c>
      <c r="S55" s="228">
        <f>+R55</f>
        <v>47.4</v>
      </c>
    </row>
    <row r="56" spans="1:19" ht="17.25" customHeight="1">
      <c r="A56" s="7"/>
      <c r="B56" s="224" t="s">
        <v>71</v>
      </c>
      <c r="C56" s="277">
        <v>186.6</v>
      </c>
      <c r="D56" s="277">
        <v>197.6</v>
      </c>
      <c r="E56" s="221">
        <v>205.5</v>
      </c>
      <c r="F56" s="221">
        <v>198.9</v>
      </c>
      <c r="G56" s="221">
        <v>200.8</v>
      </c>
      <c r="H56" s="222">
        <v>201.3</v>
      </c>
      <c r="I56" s="228">
        <f>+H56</f>
        <v>201.3</v>
      </c>
      <c r="J56" s="222">
        <v>205.1</v>
      </c>
      <c r="K56" s="222">
        <v>199.7</v>
      </c>
      <c r="L56" s="222">
        <v>191.9</v>
      </c>
      <c r="M56" s="222">
        <v>190.7</v>
      </c>
      <c r="N56" s="228">
        <f>+M56</f>
        <v>190.7</v>
      </c>
      <c r="O56" s="222">
        <v>208.3</v>
      </c>
      <c r="P56" s="222">
        <v>195.1</v>
      </c>
      <c r="Q56" s="222">
        <v>198.9</v>
      </c>
      <c r="R56" s="222">
        <v>199.1</v>
      </c>
      <c r="S56" s="228">
        <f>+R56</f>
        <v>199.1</v>
      </c>
    </row>
    <row r="57" spans="1:19" ht="17.25" customHeight="1">
      <c r="A57" s="7"/>
      <c r="B57" s="229" t="s">
        <v>4</v>
      </c>
      <c r="C57" s="278">
        <v>24.5</v>
      </c>
      <c r="D57" s="278">
        <v>19.4</v>
      </c>
      <c r="E57" s="230">
        <v>21.3</v>
      </c>
      <c r="F57" s="230">
        <v>19.3</v>
      </c>
      <c r="G57" s="230">
        <v>20.7</v>
      </c>
      <c r="H57" s="231">
        <v>21.2</v>
      </c>
      <c r="I57" s="232">
        <f>+H57</f>
        <v>21.2</v>
      </c>
      <c r="J57" s="231">
        <v>22.7</v>
      </c>
      <c r="K57" s="231">
        <v>22.2</v>
      </c>
      <c r="L57" s="231">
        <v>21.4</v>
      </c>
      <c r="M57" s="231">
        <v>22</v>
      </c>
      <c r="N57" s="232">
        <f>+M57</f>
        <v>22</v>
      </c>
      <c r="O57" s="231">
        <v>24.5</v>
      </c>
      <c r="P57" s="231">
        <v>24.6</v>
      </c>
      <c r="Q57" s="231">
        <v>26.7</v>
      </c>
      <c r="R57" s="231">
        <v>28.6</v>
      </c>
      <c r="S57" s="232">
        <f>+R57</f>
        <v>28.6</v>
      </c>
    </row>
    <row r="58" spans="1:19" ht="17.25" customHeight="1" thickBot="1">
      <c r="A58" s="7"/>
      <c r="B58" s="21" t="s">
        <v>72</v>
      </c>
      <c r="C58" s="233">
        <f>IF((SUM(C54:C57))='Assets under Management'!C9,SUM(C54:C57),"Error")</f>
        <v>373.5</v>
      </c>
      <c r="D58" s="234">
        <f>IF((SUM(D54:D57))='Assets under Management'!D9,SUM(D54:D57),"Error")</f>
        <v>373.3</v>
      </c>
      <c r="E58" s="233">
        <f>IF((SUM(E54:E57))='Assets under Management'!E9,SUM(E54:E57),"Error")</f>
        <v>389.8</v>
      </c>
      <c r="F58" s="234">
        <f>IF((SUM(F54:F57))='Assets under Management'!F9,SUM(F54:F57),"Error")</f>
        <v>378.6</v>
      </c>
      <c r="G58" s="234">
        <f>IF((SUM(G54:G57))='Assets under Management'!G9,SUM(G54:G57),"Error")</f>
        <v>380.2</v>
      </c>
      <c r="H58" s="235">
        <f>IF((SUM(H54:H57))='Assets under Management'!H9,SUM(H54:H57),"Error")</f>
        <v>382</v>
      </c>
      <c r="I58" s="235">
        <f>IF((SUM(I54:I57))='Assets under Management'!I9,SUM(I54:I57),"Error")</f>
        <v>382</v>
      </c>
      <c r="J58" s="233">
        <f>IF((SUM(J54:J57))='Assets under Management'!J9,SUM(J54:J57),"Error")</f>
        <v>393.4</v>
      </c>
      <c r="K58" s="233">
        <f>IF((SUM(K54:K57))='Assets under Management'!K9,SUM(K54:K57),"Error")</f>
        <v>379.2</v>
      </c>
      <c r="L58" s="233">
        <f>IF((SUM(L54:L57))='Assets under Management'!L9,SUM(L54:L57),"Error")</f>
        <v>365.2</v>
      </c>
      <c r="M58" s="233">
        <f>IF((SUM(M54:M57))='Assets under Management'!M9,SUM(M54:M57),"Error")</f>
        <v>365.2</v>
      </c>
      <c r="N58" s="233">
        <f>IF((SUM(N54:N57))='Assets under Management'!N9,SUM(N54:N57),"Error")</f>
        <v>365.2</v>
      </c>
      <c r="O58" s="233">
        <f>IF((SUM(O54:O57))='Assets under Management'!O9,SUM(O54:O57),"Error")</f>
        <v>360.8</v>
      </c>
      <c r="P58" s="233">
        <f>IF((SUM(P54:P57))='Assets under Management'!P9,SUM(P54:P57),"Error")</f>
        <v>360.5</v>
      </c>
      <c r="Q58" s="233">
        <f>IF((SUM(Q54:Q57))='Assets under Management'!Q9,SUM(Q54:Q57),"Error")</f>
        <v>368.9</v>
      </c>
      <c r="R58" s="233">
        <f>IF((SUM(R54:R57))='Assets under Management'!R9,SUM(R54:R57),"Error")</f>
        <v>371.6</v>
      </c>
      <c r="S58" s="233">
        <f>IF((SUM(S54:S57))='Assets under Management'!S9,SUM(S54:S57),"Error")</f>
        <v>371.6</v>
      </c>
    </row>
    <row r="59" spans="1:19" ht="12" customHeight="1">
      <c r="A59" s="7"/>
      <c r="B59" s="1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ht="12.75">
      <c r="A60" s="7"/>
      <c r="B60" s="13" t="s">
        <v>59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ht="17.25" customHeight="1">
      <c r="A61" s="7"/>
      <c r="B61" s="28" t="s">
        <v>60</v>
      </c>
      <c r="C61" s="236">
        <f>'Assets under Management'!C20</f>
        <v>-36.9</v>
      </c>
      <c r="D61" s="236">
        <f>'Assets under Management'!D20</f>
        <v>-1.6</v>
      </c>
      <c r="E61" s="236">
        <f>'Assets under Management'!E20</f>
        <v>10.2</v>
      </c>
      <c r="F61" s="236">
        <f>'Assets under Management'!F20</f>
        <v>0.7</v>
      </c>
      <c r="G61" s="236">
        <f>'Assets under Management'!G20</f>
        <v>5.6</v>
      </c>
      <c r="H61" s="236">
        <f>'Assets under Management'!H20</f>
        <v>3.7</v>
      </c>
      <c r="I61" s="236">
        <f>'Assets under Management'!I20</f>
        <v>20.2</v>
      </c>
      <c r="J61" s="236">
        <f>'Assets under Management'!J20</f>
        <v>6.5</v>
      </c>
      <c r="K61" s="236">
        <f>'Assets under Management'!K20</f>
        <v>3.9</v>
      </c>
      <c r="L61" s="236">
        <f>'Assets under Management'!L20</f>
        <v>1.5</v>
      </c>
      <c r="M61" s="236">
        <f>'Assets under Management'!M20</f>
        <v>-6.7</v>
      </c>
      <c r="N61" s="236">
        <f>'Assets under Management'!N20</f>
        <v>5.2</v>
      </c>
      <c r="O61" s="236">
        <f>'Assets under Management'!O20</f>
        <v>-11.4</v>
      </c>
      <c r="P61" s="236">
        <f>'Assets under Management'!P20</f>
        <v>0.4</v>
      </c>
      <c r="Q61" s="236">
        <f>'Assets under Management'!Q20</f>
        <v>-0.5</v>
      </c>
      <c r="R61" s="236">
        <f>'Assets under Management'!R20</f>
        <v>2.5</v>
      </c>
      <c r="S61" s="236">
        <f>'Assets under Management'!S20</f>
        <v>-9</v>
      </c>
    </row>
    <row r="62" spans="1:19" ht="18" customHeight="1">
      <c r="A62" s="7"/>
      <c r="B62" s="28" t="s">
        <v>107</v>
      </c>
      <c r="C62" s="237">
        <f>SUM(C63:C65)</f>
        <v>-123.8</v>
      </c>
      <c r="D62" s="237">
        <f>SUM(D63:D65)</f>
        <v>1.4</v>
      </c>
      <c r="E62" s="237">
        <f>SUM(E63:E65)</f>
        <v>6.3</v>
      </c>
      <c r="F62" s="237">
        <f>SUM(F63:F65)</f>
        <v>-11.9</v>
      </c>
      <c r="G62" s="237">
        <f>SUM(G63:G65)</f>
        <v>-4</v>
      </c>
      <c r="H62" s="237">
        <f aca="true" t="shared" si="10" ref="H62:N62">SUM(H63:H65)</f>
        <v>-1.9</v>
      </c>
      <c r="I62" s="237">
        <f t="shared" si="10"/>
        <v>-11.5</v>
      </c>
      <c r="J62" s="237">
        <f t="shared" si="10"/>
        <v>4.9</v>
      </c>
      <c r="K62" s="237">
        <f t="shared" si="10"/>
        <v>-18.1</v>
      </c>
      <c r="L62" s="237">
        <f t="shared" si="10"/>
        <v>-15.5</v>
      </c>
      <c r="M62" s="237">
        <f t="shared" si="10"/>
        <v>6.7</v>
      </c>
      <c r="N62" s="237">
        <f t="shared" si="10"/>
        <v>-22</v>
      </c>
      <c r="O62" s="237">
        <f>SUM(O63:O65)</f>
        <v>7</v>
      </c>
      <c r="P62" s="237">
        <f>SUM(P63:P65)</f>
        <v>-0.7</v>
      </c>
      <c r="Q62" s="237">
        <f>SUM(Q63:Q65)</f>
        <v>8.9</v>
      </c>
      <c r="R62" s="237">
        <f>SUM(R63:R65)</f>
        <v>0.2</v>
      </c>
      <c r="S62" s="237">
        <f>SUM(S63:S65)</f>
        <v>15.4</v>
      </c>
    </row>
    <row r="63" spans="1:19" ht="17.25" customHeight="1">
      <c r="A63" s="7"/>
      <c r="B63" s="143" t="s">
        <v>108</v>
      </c>
      <c r="C63" s="279">
        <v>-75.3</v>
      </c>
      <c r="D63" s="279">
        <v>28.1</v>
      </c>
      <c r="E63" s="238">
        <v>5.4</v>
      </c>
      <c r="F63" s="238">
        <v>-7.5</v>
      </c>
      <c r="G63" s="238">
        <v>8.7</v>
      </c>
      <c r="H63" s="240">
        <v>4.2</v>
      </c>
      <c r="I63" s="239">
        <f>SUM(E63:H63)</f>
        <v>10.8</v>
      </c>
      <c r="J63" s="240">
        <v>5.7</v>
      </c>
      <c r="K63" s="240">
        <v>-3.9</v>
      </c>
      <c r="L63" s="240">
        <v>-15.9</v>
      </c>
      <c r="M63" s="240">
        <v>3.5</v>
      </c>
      <c r="N63" s="239">
        <f>SUM(J63:M63)</f>
        <v>-10.6</v>
      </c>
      <c r="O63" s="240">
        <v>13.6</v>
      </c>
      <c r="P63" s="240">
        <v>-1.9</v>
      </c>
      <c r="Q63" s="240">
        <v>10.5</v>
      </c>
      <c r="R63" s="240">
        <v>4</v>
      </c>
      <c r="S63" s="239">
        <v>26.2</v>
      </c>
    </row>
    <row r="64" spans="1:19" ht="17.25" customHeight="1">
      <c r="A64" s="7"/>
      <c r="B64" s="143" t="s">
        <v>164</v>
      </c>
      <c r="C64" s="279">
        <v>-25.3</v>
      </c>
      <c r="D64" s="279">
        <v>0</v>
      </c>
      <c r="E64" s="238">
        <v>-1.1</v>
      </c>
      <c r="F64" s="238">
        <v>-3.3</v>
      </c>
      <c r="G64" s="238">
        <v>-11.2</v>
      </c>
      <c r="H64" s="241">
        <v>-10.4</v>
      </c>
      <c r="I64" s="239">
        <f>SUM(E64:H64)</f>
        <v>-26</v>
      </c>
      <c r="J64" s="240">
        <v>-0.3</v>
      </c>
      <c r="K64" s="240">
        <v>-14.8</v>
      </c>
      <c r="L64" s="240">
        <v>7.5</v>
      </c>
      <c r="M64" s="240">
        <v>4.3</v>
      </c>
      <c r="N64" s="239">
        <f>SUM(J64:M64)</f>
        <v>-3.3</v>
      </c>
      <c r="O64" s="240">
        <v>-5.2</v>
      </c>
      <c r="P64" s="240">
        <v>3.9</v>
      </c>
      <c r="Q64" s="240">
        <v>-0.6</v>
      </c>
      <c r="R64" s="240">
        <v>-3.8</v>
      </c>
      <c r="S64" s="239">
        <v>-5.7</v>
      </c>
    </row>
    <row r="65" spans="1:19" ht="17.25" customHeight="1">
      <c r="A65" s="7"/>
      <c r="B65" s="144" t="s">
        <v>162</v>
      </c>
      <c r="C65" s="280">
        <v>-23.2</v>
      </c>
      <c r="D65" s="280">
        <v>-26.7</v>
      </c>
      <c r="E65" s="242">
        <v>2</v>
      </c>
      <c r="F65" s="242">
        <v>-1.1</v>
      </c>
      <c r="G65" s="242">
        <v>-1.5</v>
      </c>
      <c r="H65" s="243">
        <v>4.3</v>
      </c>
      <c r="I65" s="237">
        <f>SUM(E65:H65)</f>
        <v>3.7</v>
      </c>
      <c r="J65" s="243">
        <v>-0.5</v>
      </c>
      <c r="K65" s="243">
        <v>0.6</v>
      </c>
      <c r="L65" s="243">
        <v>-7.1</v>
      </c>
      <c r="M65" s="243">
        <v>-1.1</v>
      </c>
      <c r="N65" s="237">
        <f>SUM(J65:M65)</f>
        <v>-8.1</v>
      </c>
      <c r="O65" s="243">
        <v>-1.4</v>
      </c>
      <c r="P65" s="243">
        <v>-2.7</v>
      </c>
      <c r="Q65" s="243">
        <v>-1</v>
      </c>
      <c r="R65" s="243">
        <v>0</v>
      </c>
      <c r="S65" s="237">
        <v>-5.1</v>
      </c>
    </row>
    <row r="66" spans="1:19" ht="32.25" customHeight="1" thickBot="1">
      <c r="A66" s="7"/>
      <c r="B66" s="39" t="s">
        <v>122</v>
      </c>
      <c r="C66" s="244">
        <f>+C61+C62</f>
        <v>-160.7</v>
      </c>
      <c r="D66" s="244">
        <f aca="true" t="shared" si="11" ref="D66:K66">+D61+D62</f>
        <v>-0.2</v>
      </c>
      <c r="E66" s="244">
        <f t="shared" si="11"/>
        <v>16.5</v>
      </c>
      <c r="F66" s="244">
        <f t="shared" si="11"/>
        <v>-11.2</v>
      </c>
      <c r="G66" s="244">
        <f t="shared" si="11"/>
        <v>1.6</v>
      </c>
      <c r="H66" s="244">
        <f t="shared" si="11"/>
        <v>1.8</v>
      </c>
      <c r="I66" s="244">
        <f t="shared" si="11"/>
        <v>8.7</v>
      </c>
      <c r="J66" s="244">
        <f t="shared" si="11"/>
        <v>11.4</v>
      </c>
      <c r="K66" s="244">
        <f t="shared" si="11"/>
        <v>-14.2</v>
      </c>
      <c r="L66" s="244">
        <f aca="true" t="shared" si="12" ref="L66:S66">+L61+L62</f>
        <v>-14</v>
      </c>
      <c r="M66" s="244">
        <f t="shared" si="12"/>
        <v>0</v>
      </c>
      <c r="N66" s="244">
        <f t="shared" si="12"/>
        <v>-16.8</v>
      </c>
      <c r="O66" s="244">
        <f t="shared" si="12"/>
        <v>-4.4</v>
      </c>
      <c r="P66" s="244">
        <f t="shared" si="12"/>
        <v>-0.3</v>
      </c>
      <c r="Q66" s="244">
        <f>+Q61+Q62</f>
        <v>8.4</v>
      </c>
      <c r="R66" s="244">
        <f>+R61+R62</f>
        <v>2.7</v>
      </c>
      <c r="S66" s="244">
        <f t="shared" si="12"/>
        <v>6.4</v>
      </c>
    </row>
    <row r="67" spans="1:19" ht="12" customHeight="1">
      <c r="A67" s="7"/>
      <c r="B67" s="141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:19" ht="17.25" customHeight="1">
      <c r="A68" s="7"/>
      <c r="B68" s="13" t="s">
        <v>80</v>
      </c>
      <c r="C68" s="61"/>
      <c r="D68" s="61"/>
      <c r="E68" s="61"/>
      <c r="F68" s="61"/>
      <c r="G68" s="61"/>
      <c r="H68" s="61"/>
      <c r="I68" s="75"/>
      <c r="J68" s="61"/>
      <c r="K68" s="61"/>
      <c r="L68" s="61"/>
      <c r="M68" s="61"/>
      <c r="N68" s="75"/>
      <c r="O68" s="61"/>
      <c r="P68" s="61"/>
      <c r="Q68" s="61"/>
      <c r="R68" s="61"/>
      <c r="S68" s="75"/>
    </row>
    <row r="69" spans="1:19" ht="17.25" customHeight="1">
      <c r="A69" s="7"/>
      <c r="B69" s="89" t="s">
        <v>60</v>
      </c>
      <c r="C69" s="317">
        <v>-6.9</v>
      </c>
      <c r="D69" s="317">
        <v>-0.4</v>
      </c>
      <c r="E69" s="317">
        <v>10.9</v>
      </c>
      <c r="F69" s="317">
        <v>0.7</v>
      </c>
      <c r="G69" s="317">
        <v>5.9</v>
      </c>
      <c r="H69" s="317">
        <v>3.9</v>
      </c>
      <c r="I69" s="178">
        <v>5.4</v>
      </c>
      <c r="J69" s="317">
        <v>6.8</v>
      </c>
      <c r="K69" s="317">
        <v>4</v>
      </c>
      <c r="L69" s="317">
        <v>1.6</v>
      </c>
      <c r="M69" s="317">
        <v>-7.3</v>
      </c>
      <c r="N69" s="178">
        <v>1.4</v>
      </c>
      <c r="O69" s="317">
        <v>-12.5</v>
      </c>
      <c r="P69" s="317">
        <v>0.4</v>
      </c>
      <c r="Q69" s="317">
        <v>-0.6</v>
      </c>
      <c r="R69" s="185">
        <v>2.7</v>
      </c>
      <c r="S69" s="178">
        <v>-2.5</v>
      </c>
    </row>
    <row r="70" spans="1:19" ht="17.25" customHeight="1">
      <c r="A70" s="7"/>
      <c r="B70" s="348" t="s">
        <v>107</v>
      </c>
      <c r="C70" s="298">
        <v>-23.2</v>
      </c>
      <c r="D70" s="298">
        <v>0.4</v>
      </c>
      <c r="E70" s="316">
        <v>6.8</v>
      </c>
      <c r="F70" s="316">
        <v>-12.2</v>
      </c>
      <c r="G70" s="316">
        <v>-4.2</v>
      </c>
      <c r="H70" s="316">
        <v>-2</v>
      </c>
      <c r="I70" s="180">
        <v>-3.1</v>
      </c>
      <c r="J70" s="316">
        <v>5.1</v>
      </c>
      <c r="K70" s="316">
        <v>-18.4</v>
      </c>
      <c r="L70" s="316">
        <v>-16.4</v>
      </c>
      <c r="M70" s="316">
        <v>7.3</v>
      </c>
      <c r="N70" s="180">
        <v>-5.8</v>
      </c>
      <c r="O70" s="316">
        <v>7.7</v>
      </c>
      <c r="P70" s="316">
        <v>-0.8</v>
      </c>
      <c r="Q70" s="316">
        <v>9.9</v>
      </c>
      <c r="R70" s="316">
        <v>0.2</v>
      </c>
      <c r="S70" s="180">
        <v>4.3</v>
      </c>
    </row>
    <row r="71" spans="1:19" ht="30.75" customHeight="1" thickBot="1">
      <c r="A71" s="7"/>
      <c r="B71" s="118" t="s">
        <v>199</v>
      </c>
      <c r="C71" s="184">
        <f>C69+C70</f>
        <v>-30.1</v>
      </c>
      <c r="D71" s="388">
        <f aca="true" t="shared" si="13" ref="D71:S71">D69+D70</f>
        <v>0</v>
      </c>
      <c r="E71" s="184">
        <f t="shared" si="13"/>
        <v>17.7</v>
      </c>
      <c r="F71" s="184">
        <f t="shared" si="13"/>
        <v>-11.5</v>
      </c>
      <c r="G71" s="184">
        <f t="shared" si="13"/>
        <v>1.7</v>
      </c>
      <c r="H71" s="184">
        <f t="shared" si="13"/>
        <v>1.9</v>
      </c>
      <c r="I71" s="184">
        <f t="shared" si="13"/>
        <v>2.3</v>
      </c>
      <c r="J71" s="184">
        <f t="shared" si="13"/>
        <v>11.9</v>
      </c>
      <c r="K71" s="184">
        <f t="shared" si="13"/>
        <v>-14.4</v>
      </c>
      <c r="L71" s="184">
        <f t="shared" si="13"/>
        <v>-14.8</v>
      </c>
      <c r="M71" s="388">
        <f t="shared" si="13"/>
        <v>0</v>
      </c>
      <c r="N71" s="184">
        <f t="shared" si="13"/>
        <v>-4.4</v>
      </c>
      <c r="O71" s="184">
        <f t="shared" si="13"/>
        <v>-4.8</v>
      </c>
      <c r="P71" s="184">
        <f t="shared" si="13"/>
        <v>-0.4</v>
      </c>
      <c r="Q71" s="184">
        <f>Q69+Q70</f>
        <v>9.3</v>
      </c>
      <c r="R71" s="184">
        <f>R69+R70</f>
        <v>2.9</v>
      </c>
      <c r="S71" s="184">
        <f t="shared" si="13"/>
        <v>1.8</v>
      </c>
    </row>
    <row r="72" spans="1:19" ht="16.5" customHeight="1">
      <c r="A72" s="7"/>
      <c r="B72" s="141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</row>
    <row r="73" spans="1:19" ht="17.25" customHeight="1">
      <c r="A73" s="7"/>
      <c r="B73" s="13" t="s">
        <v>62</v>
      </c>
      <c r="C73" s="61"/>
      <c r="D73" s="61"/>
      <c r="E73" s="61"/>
      <c r="F73" s="61"/>
      <c r="G73" s="61"/>
      <c r="H73" s="61"/>
      <c r="I73" s="75"/>
      <c r="J73" s="61"/>
      <c r="K73" s="61"/>
      <c r="L73" s="61"/>
      <c r="M73" s="61"/>
      <c r="N73" s="75"/>
      <c r="O73" s="61"/>
      <c r="P73" s="61"/>
      <c r="Q73" s="61"/>
      <c r="R73" s="61"/>
      <c r="S73" s="75"/>
    </row>
    <row r="74" spans="1:19" ht="17.25" customHeight="1">
      <c r="A74" s="7"/>
      <c r="B74" s="89" t="s">
        <v>60</v>
      </c>
      <c r="C74" s="317">
        <v>-6.9</v>
      </c>
      <c r="D74" s="317">
        <v>-0.4</v>
      </c>
      <c r="E74" s="317">
        <v>3.1</v>
      </c>
      <c r="F74" s="317">
        <v>4.3</v>
      </c>
      <c r="G74" s="317">
        <v>5</v>
      </c>
      <c r="H74" s="317">
        <v>5.4</v>
      </c>
      <c r="I74" s="178">
        <v>5.4</v>
      </c>
      <c r="J74" s="317">
        <v>4.2</v>
      </c>
      <c r="K74" s="317">
        <v>5.2</v>
      </c>
      <c r="L74" s="317">
        <v>4.1</v>
      </c>
      <c r="M74" s="317">
        <v>1.4</v>
      </c>
      <c r="N74" s="178">
        <v>1.4</v>
      </c>
      <c r="O74" s="317">
        <v>-3.2</v>
      </c>
      <c r="P74" s="317">
        <v>-4.3</v>
      </c>
      <c r="Q74" s="317">
        <v>-5</v>
      </c>
      <c r="R74" s="185">
        <v>-2.5</v>
      </c>
      <c r="S74" s="178">
        <f>R74</f>
        <v>-2.5</v>
      </c>
    </row>
    <row r="75" spans="1:19" ht="17.25" customHeight="1">
      <c r="A75" s="7"/>
      <c r="B75" s="348" t="s">
        <v>107</v>
      </c>
      <c r="C75" s="298">
        <v>-23.2</v>
      </c>
      <c r="D75" s="298">
        <v>0.4</v>
      </c>
      <c r="E75" s="316">
        <v>2.1</v>
      </c>
      <c r="F75" s="316">
        <v>-2.9</v>
      </c>
      <c r="G75" s="316">
        <v>-6.7</v>
      </c>
      <c r="H75" s="316">
        <v>-3.1</v>
      </c>
      <c r="I75" s="180">
        <v>-3.1</v>
      </c>
      <c r="J75" s="316">
        <v>-3.3</v>
      </c>
      <c r="K75" s="316">
        <v>-5</v>
      </c>
      <c r="L75" s="316">
        <v>-8</v>
      </c>
      <c r="M75" s="316">
        <v>-5.8</v>
      </c>
      <c r="N75" s="180">
        <v>-5.8</v>
      </c>
      <c r="O75" s="316">
        <v>-5.1</v>
      </c>
      <c r="P75" s="316">
        <v>-0.7</v>
      </c>
      <c r="Q75" s="316">
        <v>6</v>
      </c>
      <c r="R75" s="316">
        <v>4.3</v>
      </c>
      <c r="S75" s="180">
        <f>R75</f>
        <v>4.3</v>
      </c>
    </row>
    <row r="76" spans="1:19" ht="41.25" customHeight="1" thickBot="1">
      <c r="A76" s="7"/>
      <c r="B76" s="118" t="s">
        <v>201</v>
      </c>
      <c r="C76" s="184">
        <f>C74+C75</f>
        <v>-30.1</v>
      </c>
      <c r="D76" s="388">
        <f aca="true" t="shared" si="14" ref="D76:S76">D74+D75</f>
        <v>0</v>
      </c>
      <c r="E76" s="184">
        <f t="shared" si="14"/>
        <v>5.2</v>
      </c>
      <c r="F76" s="184">
        <f t="shared" si="14"/>
        <v>1.4</v>
      </c>
      <c r="G76" s="184">
        <f t="shared" si="14"/>
        <v>-1.7</v>
      </c>
      <c r="H76" s="184">
        <f t="shared" si="14"/>
        <v>2.3</v>
      </c>
      <c r="I76" s="184">
        <f t="shared" si="14"/>
        <v>2.3</v>
      </c>
      <c r="J76" s="184">
        <f t="shared" si="14"/>
        <v>0.9</v>
      </c>
      <c r="K76" s="184">
        <f t="shared" si="14"/>
        <v>0.2</v>
      </c>
      <c r="L76" s="184">
        <f t="shared" si="14"/>
        <v>-3.9</v>
      </c>
      <c r="M76" s="184">
        <f t="shared" si="14"/>
        <v>-4.4</v>
      </c>
      <c r="N76" s="184">
        <f t="shared" si="14"/>
        <v>-4.4</v>
      </c>
      <c r="O76" s="184">
        <f t="shared" si="14"/>
        <v>-8.3</v>
      </c>
      <c r="P76" s="184">
        <f t="shared" si="14"/>
        <v>-5</v>
      </c>
      <c r="Q76" s="184">
        <f t="shared" si="14"/>
        <v>1</v>
      </c>
      <c r="R76" s="184">
        <f>R74+R75</f>
        <v>1.8</v>
      </c>
      <c r="S76" s="184">
        <f t="shared" si="14"/>
        <v>1.8</v>
      </c>
    </row>
    <row r="77" spans="1:19" ht="12" customHeight="1">
      <c r="A77" s="7"/>
      <c r="B77" s="141"/>
      <c r="C77" s="359"/>
      <c r="D77" s="359"/>
      <c r="E77" s="359"/>
      <c r="F77" s="359"/>
      <c r="G77" s="359"/>
      <c r="H77" s="359"/>
      <c r="I77" s="359"/>
      <c r="J77" s="359"/>
      <c r="K77" s="359"/>
      <c r="L77" s="359"/>
      <c r="M77" s="359"/>
      <c r="N77" s="359"/>
      <c r="O77" s="359"/>
      <c r="P77" s="359"/>
      <c r="Q77" s="359"/>
      <c r="R77" s="359"/>
      <c r="S77" s="359"/>
    </row>
    <row r="78" spans="1:19" ht="17.25" customHeight="1">
      <c r="A78" s="7"/>
      <c r="B78" s="13" t="s">
        <v>202</v>
      </c>
      <c r="C78" s="61"/>
      <c r="D78" s="61"/>
      <c r="E78" s="61"/>
      <c r="F78" s="61"/>
      <c r="G78" s="61"/>
      <c r="H78" s="61"/>
      <c r="I78" s="75"/>
      <c r="J78" s="61"/>
      <c r="K78" s="61"/>
      <c r="L78" s="61"/>
      <c r="M78" s="61"/>
      <c r="N78" s="75"/>
      <c r="O78" s="61"/>
      <c r="P78" s="61"/>
      <c r="Q78" s="61"/>
      <c r="R78" s="61"/>
      <c r="S78" s="75"/>
    </row>
    <row r="79" spans="1:19" s="361" customFormat="1" ht="17.25" customHeight="1" thickBot="1">
      <c r="A79" s="345"/>
      <c r="B79" s="392" t="s">
        <v>203</v>
      </c>
      <c r="C79" s="269">
        <v>4</v>
      </c>
      <c r="D79" s="269">
        <v>3.8</v>
      </c>
      <c r="E79" s="269">
        <v>3.9</v>
      </c>
      <c r="F79" s="269">
        <v>3.9</v>
      </c>
      <c r="G79" s="269">
        <v>3.6</v>
      </c>
      <c r="H79" s="269">
        <v>3.4</v>
      </c>
      <c r="I79" s="62">
        <f>H79</f>
        <v>3.4</v>
      </c>
      <c r="J79" s="269">
        <v>3.3</v>
      </c>
      <c r="K79" s="269">
        <v>3.1</v>
      </c>
      <c r="L79" s="269">
        <v>3.2</v>
      </c>
      <c r="M79" s="269">
        <v>3.4</v>
      </c>
      <c r="N79" s="62">
        <f>M79</f>
        <v>3.4</v>
      </c>
      <c r="O79" s="269">
        <v>3.4</v>
      </c>
      <c r="P79" s="269">
        <v>3.7</v>
      </c>
      <c r="Q79" s="269">
        <v>3.6</v>
      </c>
      <c r="R79" s="62">
        <v>2.9</v>
      </c>
      <c r="S79" s="62">
        <f>+R79</f>
        <v>2.9</v>
      </c>
    </row>
    <row r="80" spans="1:19" ht="9.75" customHeight="1">
      <c r="A80" s="7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</row>
    <row r="81" spans="1:19" ht="12" customHeight="1">
      <c r="A81" s="34"/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ht="17.25" customHeight="1">
      <c r="A82" s="7"/>
      <c r="B82" s="11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7.25" customHeight="1">
      <c r="A83" s="7"/>
      <c r="B83" s="289" t="s">
        <v>207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</sheetData>
  <sheetProtection/>
  <mergeCells count="1">
    <mergeCell ref="B1:B2"/>
  </mergeCells>
  <conditionalFormatting sqref="C25:N25 C51:N51 C48:S48 C58:S58 C31:S31">
    <cfRule type="cellIs" priority="8" dxfId="0" operator="equal" stopIfTrue="1">
      <formula>"Error"</formula>
    </cfRule>
  </conditionalFormatting>
  <conditionalFormatting sqref="O51 O25">
    <cfRule type="cellIs" priority="7" dxfId="0" operator="equal" stopIfTrue="1">
      <formula>"Error"</formula>
    </cfRule>
  </conditionalFormatting>
  <conditionalFormatting sqref="P51 P25">
    <cfRule type="cellIs" priority="6" dxfId="0" operator="equal" stopIfTrue="1">
      <formula>"Error"</formula>
    </cfRule>
  </conditionalFormatting>
  <conditionalFormatting sqref="Q51 Q25:S25">
    <cfRule type="cellIs" priority="4" dxfId="0" operator="equal" stopIfTrue="1">
      <formula>"Error"</formula>
    </cfRule>
  </conditionalFormatting>
  <conditionalFormatting sqref="R51">
    <cfRule type="cellIs" priority="2" dxfId="0" operator="equal" stopIfTrue="1">
      <formula>"Error"</formula>
    </cfRule>
  </conditionalFormatting>
  <conditionalFormatting sqref="S5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3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19" width="11.57421875" style="1" customWidth="1"/>
    <col min="20" max="16384" width="1.7109375" style="1" customWidth="1"/>
  </cols>
  <sheetData>
    <row r="1" spans="1:19" ht="21.75" customHeight="1">
      <c r="A1" s="2"/>
      <c r="B1" s="408" t="s">
        <v>130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7.25" customHeight="1">
      <c r="A6" s="7"/>
      <c r="B6" s="13" t="s">
        <v>27</v>
      </c>
      <c r="C6" s="196"/>
      <c r="D6" s="11"/>
      <c r="E6" s="196"/>
      <c r="F6" s="196"/>
      <c r="G6" s="196"/>
      <c r="H6" s="11"/>
      <c r="I6" s="11"/>
      <c r="J6" s="196"/>
      <c r="K6" s="196"/>
      <c r="L6" s="196"/>
      <c r="M6" s="196"/>
      <c r="N6" s="11"/>
      <c r="O6" s="196"/>
      <c r="P6" s="196"/>
      <c r="Q6" s="196"/>
      <c r="R6" s="196"/>
      <c r="S6" s="11"/>
    </row>
    <row r="7" spans="1:19" s="18" customFormat="1" ht="17.25" customHeight="1">
      <c r="A7" s="7"/>
      <c r="B7" s="24" t="s">
        <v>28</v>
      </c>
      <c r="C7" s="264">
        <v>388</v>
      </c>
      <c r="D7" s="264">
        <v>1060</v>
      </c>
      <c r="E7" s="101">
        <v>429</v>
      </c>
      <c r="F7" s="101">
        <v>447</v>
      </c>
      <c r="G7" s="101">
        <v>499</v>
      </c>
      <c r="H7" s="101">
        <v>585</v>
      </c>
      <c r="I7" s="43">
        <f aca="true" t="shared" si="0" ref="I7:I15">SUM(E7:H7)</f>
        <v>1960</v>
      </c>
      <c r="J7" s="101">
        <v>488</v>
      </c>
      <c r="K7" s="101">
        <v>387</v>
      </c>
      <c r="L7" s="101">
        <v>306</v>
      </c>
      <c r="M7" s="101">
        <v>223</v>
      </c>
      <c r="N7" s="43">
        <f aca="true" t="shared" si="1" ref="N7:N15">SUM(J7:M7)</f>
        <v>1404</v>
      </c>
      <c r="O7" s="101">
        <v>406</v>
      </c>
      <c r="P7" s="101">
        <v>300</v>
      </c>
      <c r="Q7" s="101">
        <v>403</v>
      </c>
      <c r="R7" s="101">
        <v>508</v>
      </c>
      <c r="S7" s="43">
        <f aca="true" t="shared" si="2" ref="S7:S15">SUM(O7:R7)</f>
        <v>1617</v>
      </c>
    </row>
    <row r="8" spans="1:19" s="18" customFormat="1" ht="17.25" customHeight="1">
      <c r="A8" s="7"/>
      <c r="B8" s="27" t="s">
        <v>29</v>
      </c>
      <c r="C8" s="271">
        <v>851</v>
      </c>
      <c r="D8" s="271">
        <v>1188</v>
      </c>
      <c r="E8" s="109">
        <v>219</v>
      </c>
      <c r="F8" s="109">
        <v>214</v>
      </c>
      <c r="G8" s="109">
        <v>168</v>
      </c>
      <c r="H8" s="109">
        <v>293</v>
      </c>
      <c r="I8" s="53">
        <f t="shared" si="0"/>
        <v>894</v>
      </c>
      <c r="J8" s="109">
        <v>201</v>
      </c>
      <c r="K8" s="109">
        <v>290</v>
      </c>
      <c r="L8" s="109">
        <v>112</v>
      </c>
      <c r="M8" s="109">
        <v>110</v>
      </c>
      <c r="N8" s="53">
        <f t="shared" si="1"/>
        <v>713</v>
      </c>
      <c r="O8" s="109">
        <v>119</v>
      </c>
      <c r="P8" s="109">
        <v>93</v>
      </c>
      <c r="Q8" s="109">
        <v>173</v>
      </c>
      <c r="R8" s="109">
        <v>167</v>
      </c>
      <c r="S8" s="53">
        <f t="shared" si="2"/>
        <v>552</v>
      </c>
    </row>
    <row r="9" spans="1:19" s="18" customFormat="1" ht="17.25" customHeight="1">
      <c r="A9" s="7"/>
      <c r="B9" s="28" t="s">
        <v>30</v>
      </c>
      <c r="C9" s="50">
        <f aca="true" t="shared" si="3" ref="C9:H9">+C7+C8</f>
        <v>1239</v>
      </c>
      <c r="D9" s="50">
        <f t="shared" si="3"/>
        <v>2248</v>
      </c>
      <c r="E9" s="50">
        <f t="shared" si="3"/>
        <v>648</v>
      </c>
      <c r="F9" s="50">
        <f t="shared" si="3"/>
        <v>661</v>
      </c>
      <c r="G9" s="50">
        <f t="shared" si="3"/>
        <v>667</v>
      </c>
      <c r="H9" s="50">
        <f t="shared" si="3"/>
        <v>878</v>
      </c>
      <c r="I9" s="50">
        <f t="shared" si="0"/>
        <v>2854</v>
      </c>
      <c r="J9" s="50">
        <f>+J7+J8</f>
        <v>689</v>
      </c>
      <c r="K9" s="50">
        <f>+K7+K8</f>
        <v>677</v>
      </c>
      <c r="L9" s="50">
        <f>+L7+L8</f>
        <v>418</v>
      </c>
      <c r="M9" s="50">
        <f>+M7+M8</f>
        <v>333</v>
      </c>
      <c r="N9" s="50">
        <f t="shared" si="1"/>
        <v>2117</v>
      </c>
      <c r="O9" s="50">
        <f>+O7+O8</f>
        <v>525</v>
      </c>
      <c r="P9" s="50">
        <f>+P7+P8</f>
        <v>393</v>
      </c>
      <c r="Q9" s="50">
        <f>+Q7+Q8</f>
        <v>576</v>
      </c>
      <c r="R9" s="50">
        <f>+R7+R8</f>
        <v>675</v>
      </c>
      <c r="S9" s="50">
        <f t="shared" si="2"/>
        <v>2169</v>
      </c>
    </row>
    <row r="10" spans="1:19" s="18" customFormat="1" ht="17.25" customHeight="1">
      <c r="A10" s="7"/>
      <c r="B10" s="28" t="s">
        <v>31</v>
      </c>
      <c r="C10" s="265">
        <v>1347</v>
      </c>
      <c r="D10" s="265">
        <v>790</v>
      </c>
      <c r="E10" s="103">
        <v>216</v>
      </c>
      <c r="F10" s="103">
        <v>312</v>
      </c>
      <c r="G10" s="103">
        <v>211</v>
      </c>
      <c r="H10" s="103">
        <v>350</v>
      </c>
      <c r="I10" s="50">
        <f t="shared" si="0"/>
        <v>1089</v>
      </c>
      <c r="J10" s="103">
        <v>228</v>
      </c>
      <c r="K10" s="103">
        <v>271</v>
      </c>
      <c r="L10" s="103">
        <v>181</v>
      </c>
      <c r="M10" s="103">
        <v>176</v>
      </c>
      <c r="N10" s="50">
        <f t="shared" si="1"/>
        <v>856</v>
      </c>
      <c r="O10" s="103">
        <v>213</v>
      </c>
      <c r="P10" s="103">
        <v>234</v>
      </c>
      <c r="Q10" s="103">
        <v>288</v>
      </c>
      <c r="R10" s="103">
        <v>307</v>
      </c>
      <c r="S10" s="50">
        <f t="shared" si="2"/>
        <v>1042</v>
      </c>
    </row>
    <row r="11" spans="1:19" s="18" customFormat="1" ht="17.25" customHeight="1" thickBot="1">
      <c r="A11" s="7"/>
      <c r="B11" s="26" t="s">
        <v>32</v>
      </c>
      <c r="C11" s="40">
        <f aca="true" t="shared" si="4" ref="C11:H11">SUM(C9:C10)</f>
        <v>2586</v>
      </c>
      <c r="D11" s="40">
        <f t="shared" si="4"/>
        <v>3038</v>
      </c>
      <c r="E11" s="40">
        <f t="shared" si="4"/>
        <v>864</v>
      </c>
      <c r="F11" s="40">
        <f t="shared" si="4"/>
        <v>973</v>
      </c>
      <c r="G11" s="40">
        <f t="shared" si="4"/>
        <v>878</v>
      </c>
      <c r="H11" s="40">
        <f t="shared" si="4"/>
        <v>1228</v>
      </c>
      <c r="I11" s="40">
        <f t="shared" si="0"/>
        <v>3943</v>
      </c>
      <c r="J11" s="40">
        <f>SUM(J9:J10)</f>
        <v>917</v>
      </c>
      <c r="K11" s="40">
        <f>SUM(K9:K10)</f>
        <v>948</v>
      </c>
      <c r="L11" s="40">
        <f>SUM(L9:L10)</f>
        <v>599</v>
      </c>
      <c r="M11" s="40">
        <f>SUM(M9:M10)</f>
        <v>509</v>
      </c>
      <c r="N11" s="40">
        <f t="shared" si="1"/>
        <v>2973</v>
      </c>
      <c r="O11" s="40">
        <f>SUM(O9:O10)</f>
        <v>738</v>
      </c>
      <c r="P11" s="40">
        <f>SUM(P9:P10)</f>
        <v>627</v>
      </c>
      <c r="Q11" s="40">
        <f>SUM(Q9:Q10)</f>
        <v>864</v>
      </c>
      <c r="R11" s="40">
        <f>SUM(R9:R10)</f>
        <v>982</v>
      </c>
      <c r="S11" s="40">
        <f t="shared" si="2"/>
        <v>3211</v>
      </c>
    </row>
    <row r="12" spans="1:19" s="18" customFormat="1" ht="17.25" customHeight="1">
      <c r="A12" s="7"/>
      <c r="B12" s="19" t="s">
        <v>135</v>
      </c>
      <c r="C12" s="257">
        <v>-10174</v>
      </c>
      <c r="D12" s="257">
        <v>10494</v>
      </c>
      <c r="E12" s="100">
        <v>2620</v>
      </c>
      <c r="F12" s="100">
        <v>1381</v>
      </c>
      <c r="G12" s="100">
        <v>1504</v>
      </c>
      <c r="H12" s="100">
        <v>896</v>
      </c>
      <c r="I12" s="42">
        <f t="shared" si="0"/>
        <v>6401</v>
      </c>
      <c r="J12" s="100">
        <v>2476</v>
      </c>
      <c r="K12" s="100">
        <v>547</v>
      </c>
      <c r="L12" s="100">
        <v>467</v>
      </c>
      <c r="M12" s="100">
        <v>-149</v>
      </c>
      <c r="N12" s="42">
        <f t="shared" si="1"/>
        <v>3341</v>
      </c>
      <c r="O12" s="100">
        <v>1927</v>
      </c>
      <c r="P12" s="100">
        <v>1108</v>
      </c>
      <c r="Q12" s="100">
        <v>1427</v>
      </c>
      <c r="R12" s="100">
        <v>887</v>
      </c>
      <c r="S12" s="42">
        <f t="shared" si="2"/>
        <v>5349</v>
      </c>
    </row>
    <row r="13" spans="1:19" s="18" customFormat="1" ht="17.25" customHeight="1">
      <c r="A13" s="7"/>
      <c r="B13" s="25" t="s">
        <v>136</v>
      </c>
      <c r="C13" s="261">
        <v>741</v>
      </c>
      <c r="D13" s="261">
        <v>7187</v>
      </c>
      <c r="E13" s="102">
        <v>1625</v>
      </c>
      <c r="F13" s="102">
        <v>1556</v>
      </c>
      <c r="G13" s="102">
        <v>1143</v>
      </c>
      <c r="H13" s="102">
        <v>1359</v>
      </c>
      <c r="I13" s="44">
        <f t="shared" si="0"/>
        <v>5683</v>
      </c>
      <c r="J13" s="102">
        <v>1527</v>
      </c>
      <c r="K13" s="102">
        <v>1189</v>
      </c>
      <c r="L13" s="102">
        <v>830</v>
      </c>
      <c r="M13" s="102">
        <v>733</v>
      </c>
      <c r="N13" s="44">
        <f t="shared" si="1"/>
        <v>4279</v>
      </c>
      <c r="O13" s="102">
        <v>1362</v>
      </c>
      <c r="P13" s="102">
        <v>1075</v>
      </c>
      <c r="Q13" s="102">
        <v>983</v>
      </c>
      <c r="R13" s="102">
        <v>910</v>
      </c>
      <c r="S13" s="44">
        <f t="shared" si="2"/>
        <v>4330</v>
      </c>
    </row>
    <row r="14" spans="1:19" s="18" customFormat="1" ht="17.25" customHeight="1" thickBot="1">
      <c r="A14" s="7"/>
      <c r="B14" s="26" t="s">
        <v>137</v>
      </c>
      <c r="C14" s="40">
        <f aca="true" t="shared" si="5" ref="C14:H14">SUM(C12:C13)</f>
        <v>-9433</v>
      </c>
      <c r="D14" s="40">
        <f t="shared" si="5"/>
        <v>17681</v>
      </c>
      <c r="E14" s="40">
        <f t="shared" si="5"/>
        <v>4245</v>
      </c>
      <c r="F14" s="40">
        <f t="shared" si="5"/>
        <v>2937</v>
      </c>
      <c r="G14" s="40">
        <f t="shared" si="5"/>
        <v>2647</v>
      </c>
      <c r="H14" s="40">
        <f t="shared" si="5"/>
        <v>2255</v>
      </c>
      <c r="I14" s="40">
        <f t="shared" si="0"/>
        <v>12084</v>
      </c>
      <c r="J14" s="40">
        <f>SUM(J12:J13)</f>
        <v>4003</v>
      </c>
      <c r="K14" s="40">
        <f>SUM(K12:K13)</f>
        <v>1736</v>
      </c>
      <c r="L14" s="40">
        <f>SUM(L12:L13)</f>
        <v>1297</v>
      </c>
      <c r="M14" s="40">
        <f>SUM(M12:M13)</f>
        <v>584</v>
      </c>
      <c r="N14" s="40">
        <f t="shared" si="1"/>
        <v>7620</v>
      </c>
      <c r="O14" s="40">
        <f>SUM(O12:O13)</f>
        <v>3289</v>
      </c>
      <c r="P14" s="40">
        <f>SUM(P12:P13)</f>
        <v>2183</v>
      </c>
      <c r="Q14" s="40">
        <f>SUM(Q12:Q13)</f>
        <v>2410</v>
      </c>
      <c r="R14" s="40">
        <f>SUM(R12:R13)</f>
        <v>1797</v>
      </c>
      <c r="S14" s="40">
        <f t="shared" si="2"/>
        <v>9679</v>
      </c>
    </row>
    <row r="15" spans="1:19" s="18" customFormat="1" ht="17.25" customHeight="1">
      <c r="A15" s="7"/>
      <c r="B15" s="28" t="s">
        <v>4</v>
      </c>
      <c r="C15" s="394">
        <v>-717</v>
      </c>
      <c r="D15" s="67">
        <v>-554</v>
      </c>
      <c r="E15" s="111">
        <v>-28</v>
      </c>
      <c r="F15" s="111">
        <v>-67</v>
      </c>
      <c r="G15" s="111">
        <v>-13</v>
      </c>
      <c r="H15" s="111">
        <v>-46</v>
      </c>
      <c r="I15" s="67">
        <f t="shared" si="0"/>
        <v>-154</v>
      </c>
      <c r="J15" s="111">
        <v>-44</v>
      </c>
      <c r="K15" s="111">
        <v>-12</v>
      </c>
      <c r="L15" s="111">
        <v>-32</v>
      </c>
      <c r="M15" s="111">
        <v>-45</v>
      </c>
      <c r="N15" s="67">
        <f t="shared" si="1"/>
        <v>-133</v>
      </c>
      <c r="O15" s="111">
        <v>-68</v>
      </c>
      <c r="P15" s="111">
        <v>-59</v>
      </c>
      <c r="Q15" s="111">
        <v>-90</v>
      </c>
      <c r="R15" s="111">
        <v>-115</v>
      </c>
      <c r="S15" s="67">
        <f t="shared" si="2"/>
        <v>-332</v>
      </c>
    </row>
    <row r="16" spans="1:19" s="18" customFormat="1" ht="17.25" customHeight="1" thickBot="1">
      <c r="A16" s="7"/>
      <c r="B16" s="26" t="s">
        <v>11</v>
      </c>
      <c r="C16" s="40">
        <f aca="true" t="shared" si="6" ref="C16:I16">IF((+C11+C14+C15)=C19,(+C11+C14+C15),"Error")</f>
        <v>-7564</v>
      </c>
      <c r="D16" s="40">
        <f t="shared" si="6"/>
        <v>20165</v>
      </c>
      <c r="E16" s="40">
        <f t="shared" si="6"/>
        <v>5081</v>
      </c>
      <c r="F16" s="40">
        <f t="shared" si="6"/>
        <v>3843</v>
      </c>
      <c r="G16" s="40">
        <f t="shared" si="6"/>
        <v>3512</v>
      </c>
      <c r="H16" s="40">
        <f t="shared" si="6"/>
        <v>3437</v>
      </c>
      <c r="I16" s="40">
        <f t="shared" si="6"/>
        <v>15873</v>
      </c>
      <c r="J16" s="40">
        <f>IF((+J11+J14+J15)=J19,(+J11+J14+J15),"Error")</f>
        <v>4876</v>
      </c>
      <c r="K16" s="40">
        <f>IF((+K11+K14+K15)=K19,(+K11+K14+K15),"Error")</f>
        <v>2672</v>
      </c>
      <c r="L16" s="40">
        <f>IF((+L11+L14+L15)=L19,(+L11+L14+L15),"Error")</f>
        <v>1864</v>
      </c>
      <c r="M16" s="40">
        <f aca="true" t="shared" si="7" ref="M16:S16">IF((+M11+M14+M15)=M19,(+M11+M14+M15),"Error")</f>
        <v>1048</v>
      </c>
      <c r="N16" s="40">
        <f t="shared" si="7"/>
        <v>10460</v>
      </c>
      <c r="O16" s="40">
        <f t="shared" si="7"/>
        <v>3959</v>
      </c>
      <c r="P16" s="40">
        <f t="shared" si="7"/>
        <v>2751</v>
      </c>
      <c r="Q16" s="40">
        <f t="shared" si="7"/>
        <v>3184</v>
      </c>
      <c r="R16" s="40">
        <f t="shared" si="7"/>
        <v>2664</v>
      </c>
      <c r="S16" s="40">
        <f t="shared" si="7"/>
        <v>12558</v>
      </c>
    </row>
    <row r="17" spans="1:19" ht="17.25" customHeight="1">
      <c r="A17" s="7"/>
      <c r="B17" s="11"/>
      <c r="C17" s="56"/>
      <c r="D17" s="56"/>
      <c r="E17" s="15"/>
      <c r="F17" s="15"/>
      <c r="G17" s="15"/>
      <c r="H17" s="15"/>
      <c r="I17" s="56"/>
      <c r="J17" s="15"/>
      <c r="K17" s="15"/>
      <c r="L17" s="15"/>
      <c r="M17" s="15"/>
      <c r="N17" s="56"/>
      <c r="O17" s="15"/>
      <c r="P17" s="15"/>
      <c r="Q17" s="15"/>
      <c r="R17" s="15"/>
      <c r="S17" s="56"/>
    </row>
    <row r="18" spans="1:19" ht="17.25" customHeight="1">
      <c r="A18" s="7"/>
      <c r="B18" s="13" t="s">
        <v>95</v>
      </c>
      <c r="C18" s="56"/>
      <c r="D18" s="56"/>
      <c r="E18" s="15"/>
      <c r="F18" s="15"/>
      <c r="G18" s="15"/>
      <c r="H18" s="15"/>
      <c r="I18" s="56"/>
      <c r="J18" s="15"/>
      <c r="K18" s="15"/>
      <c r="L18" s="15"/>
      <c r="M18" s="15"/>
      <c r="N18" s="56"/>
      <c r="O18" s="15"/>
      <c r="P18" s="15"/>
      <c r="Q18" s="15"/>
      <c r="R18" s="15"/>
      <c r="S18" s="56"/>
    </row>
    <row r="19" spans="1:19" s="18" customFormat="1" ht="17.25" customHeight="1" thickBot="1">
      <c r="A19" s="7"/>
      <c r="B19" s="26" t="s">
        <v>11</v>
      </c>
      <c r="C19" s="22">
        <v>-7564</v>
      </c>
      <c r="D19" s="22">
        <v>20165</v>
      </c>
      <c r="E19" s="98">
        <v>5081</v>
      </c>
      <c r="F19" s="98">
        <v>3843</v>
      </c>
      <c r="G19" s="98">
        <v>3512</v>
      </c>
      <c r="H19" s="98">
        <v>3437</v>
      </c>
      <c r="I19" s="40">
        <f>SUM(E19:H19)</f>
        <v>15873</v>
      </c>
      <c r="J19" s="98">
        <v>4876</v>
      </c>
      <c r="K19" s="98">
        <v>2672</v>
      </c>
      <c r="L19" s="98">
        <v>1864</v>
      </c>
      <c r="M19" s="98">
        <v>1048</v>
      </c>
      <c r="N19" s="40">
        <f aca="true" t="shared" si="8" ref="N19:N26">SUM(J19:M19)</f>
        <v>10460</v>
      </c>
      <c r="O19" s="98">
        <v>3959</v>
      </c>
      <c r="P19" s="98">
        <v>2751</v>
      </c>
      <c r="Q19" s="98">
        <v>3184</v>
      </c>
      <c r="R19" s="98">
        <v>2664</v>
      </c>
      <c r="S19" s="40">
        <f aca="true" t="shared" si="9" ref="S19:S26">SUM(O19:R19)</f>
        <v>12558</v>
      </c>
    </row>
    <row r="20" spans="1:19" s="38" customFormat="1" ht="17.25" customHeight="1" thickBot="1">
      <c r="A20" s="37"/>
      <c r="B20" s="26" t="s">
        <v>12</v>
      </c>
      <c r="C20" s="22">
        <v>680</v>
      </c>
      <c r="D20" s="22">
        <v>329</v>
      </c>
      <c r="E20" s="98">
        <v>-68</v>
      </c>
      <c r="F20" s="98">
        <v>17</v>
      </c>
      <c r="G20" s="98">
        <v>-18</v>
      </c>
      <c r="H20" s="98">
        <v>-27</v>
      </c>
      <c r="I20" s="40">
        <f>SUM(E20:H20)</f>
        <v>-96</v>
      </c>
      <c r="J20" s="98">
        <v>-19</v>
      </c>
      <c r="K20" s="98">
        <v>15</v>
      </c>
      <c r="L20" s="98">
        <v>57</v>
      </c>
      <c r="M20" s="98">
        <v>23</v>
      </c>
      <c r="N20" s="40">
        <f t="shared" si="8"/>
        <v>76</v>
      </c>
      <c r="O20" s="98">
        <v>-5</v>
      </c>
      <c r="P20" s="98">
        <v>-15</v>
      </c>
      <c r="Q20" s="98">
        <v>6</v>
      </c>
      <c r="R20" s="98">
        <v>2</v>
      </c>
      <c r="S20" s="40">
        <f t="shared" si="9"/>
        <v>-12</v>
      </c>
    </row>
    <row r="21" spans="1:19" s="18" customFormat="1" ht="17.25" customHeight="1">
      <c r="A21" s="7"/>
      <c r="B21" s="28" t="s">
        <v>13</v>
      </c>
      <c r="C21" s="391">
        <v>6826</v>
      </c>
      <c r="D21" s="391">
        <v>8433</v>
      </c>
      <c r="E21" s="110">
        <v>2252</v>
      </c>
      <c r="F21" s="110">
        <v>1953</v>
      </c>
      <c r="G21" s="110">
        <v>1817</v>
      </c>
      <c r="H21" s="110">
        <v>1789</v>
      </c>
      <c r="I21" s="52">
        <f aca="true" t="shared" si="10" ref="I21:I26">SUM(E21:H21)</f>
        <v>7811</v>
      </c>
      <c r="J21" s="110">
        <v>2338</v>
      </c>
      <c r="K21" s="110">
        <v>1391</v>
      </c>
      <c r="L21" s="110">
        <v>1422</v>
      </c>
      <c r="M21" s="110">
        <v>1320</v>
      </c>
      <c r="N21" s="52">
        <f t="shared" si="8"/>
        <v>6471</v>
      </c>
      <c r="O21" s="110">
        <v>2013</v>
      </c>
      <c r="P21" s="110">
        <v>1408</v>
      </c>
      <c r="Q21" s="110">
        <v>1477</v>
      </c>
      <c r="R21" s="110">
        <v>1172</v>
      </c>
      <c r="S21" s="52">
        <f t="shared" si="9"/>
        <v>6070</v>
      </c>
    </row>
    <row r="22" spans="1:19" s="18" customFormat="1" ht="17.25" customHeight="1">
      <c r="A22" s="7"/>
      <c r="B22" s="24" t="s">
        <v>14</v>
      </c>
      <c r="C22" s="264">
        <v>2664</v>
      </c>
      <c r="D22" s="264">
        <v>3385</v>
      </c>
      <c r="E22" s="101">
        <v>829</v>
      </c>
      <c r="F22" s="101">
        <v>901</v>
      </c>
      <c r="G22" s="101">
        <v>850</v>
      </c>
      <c r="H22" s="101">
        <v>789</v>
      </c>
      <c r="I22" s="43">
        <f t="shared" si="10"/>
        <v>3369</v>
      </c>
      <c r="J22" s="101">
        <v>857</v>
      </c>
      <c r="K22" s="101">
        <v>800</v>
      </c>
      <c r="L22" s="101">
        <v>863</v>
      </c>
      <c r="M22" s="101">
        <v>868</v>
      </c>
      <c r="N22" s="43">
        <f t="shared" si="8"/>
        <v>3388</v>
      </c>
      <c r="O22" s="101">
        <v>805</v>
      </c>
      <c r="P22" s="101">
        <v>812</v>
      </c>
      <c r="Q22" s="101">
        <v>993</v>
      </c>
      <c r="R22" s="101">
        <v>941</v>
      </c>
      <c r="S22" s="43">
        <f t="shared" si="9"/>
        <v>3551</v>
      </c>
    </row>
    <row r="23" spans="1:19" s="18" customFormat="1" ht="17.25" customHeight="1">
      <c r="A23" s="7"/>
      <c r="B23" s="27" t="s">
        <v>15</v>
      </c>
      <c r="C23" s="271">
        <v>1280</v>
      </c>
      <c r="D23" s="271">
        <v>1099</v>
      </c>
      <c r="E23" s="109">
        <v>290</v>
      </c>
      <c r="F23" s="109">
        <v>336</v>
      </c>
      <c r="G23" s="109">
        <v>280</v>
      </c>
      <c r="H23" s="109">
        <v>289</v>
      </c>
      <c r="I23" s="53">
        <f t="shared" si="10"/>
        <v>1195</v>
      </c>
      <c r="J23" s="109">
        <v>298</v>
      </c>
      <c r="K23" s="109">
        <v>289</v>
      </c>
      <c r="L23" s="109">
        <v>266</v>
      </c>
      <c r="M23" s="109">
        <v>265</v>
      </c>
      <c r="N23" s="53">
        <f t="shared" si="8"/>
        <v>1118</v>
      </c>
      <c r="O23" s="109">
        <v>239</v>
      </c>
      <c r="P23" s="109">
        <v>232</v>
      </c>
      <c r="Q23" s="109">
        <v>225</v>
      </c>
      <c r="R23" s="109">
        <v>251</v>
      </c>
      <c r="S23" s="53">
        <f t="shared" si="9"/>
        <v>947</v>
      </c>
    </row>
    <row r="24" spans="1:19" s="18" customFormat="1" ht="17.25" customHeight="1">
      <c r="A24" s="7"/>
      <c r="B24" s="28" t="s">
        <v>16</v>
      </c>
      <c r="C24" s="50">
        <f aca="true" t="shared" si="11" ref="C24:H24">SUM(C22:C23)</f>
        <v>3944</v>
      </c>
      <c r="D24" s="50">
        <f t="shared" si="11"/>
        <v>4484</v>
      </c>
      <c r="E24" s="50">
        <f t="shared" si="11"/>
        <v>1119</v>
      </c>
      <c r="F24" s="50">
        <f t="shared" si="11"/>
        <v>1237</v>
      </c>
      <c r="G24" s="50">
        <f t="shared" si="11"/>
        <v>1130</v>
      </c>
      <c r="H24" s="50">
        <f t="shared" si="11"/>
        <v>1078</v>
      </c>
      <c r="I24" s="50">
        <f t="shared" si="10"/>
        <v>4564</v>
      </c>
      <c r="J24" s="50">
        <f>SUM(J22:J23)</f>
        <v>1155</v>
      </c>
      <c r="K24" s="50">
        <f>SUM(K22:K23)</f>
        <v>1089</v>
      </c>
      <c r="L24" s="50">
        <f>SUM(L22:L23)</f>
        <v>1129</v>
      </c>
      <c r="M24" s="50">
        <f>SUM(M22:M23)</f>
        <v>1133</v>
      </c>
      <c r="N24" s="50">
        <f t="shared" si="8"/>
        <v>4506</v>
      </c>
      <c r="O24" s="50">
        <f>SUM(O22:O23)</f>
        <v>1044</v>
      </c>
      <c r="P24" s="50">
        <f>SUM(P22:P23)</f>
        <v>1044</v>
      </c>
      <c r="Q24" s="50">
        <f>SUM(Q22:Q23)</f>
        <v>1218</v>
      </c>
      <c r="R24" s="50">
        <f>SUM(R22:R23)</f>
        <v>1192</v>
      </c>
      <c r="S24" s="50">
        <f t="shared" si="9"/>
        <v>4498</v>
      </c>
    </row>
    <row r="25" spans="1:19" s="18" customFormat="1" ht="17.25" customHeight="1" thickBot="1">
      <c r="A25" s="7"/>
      <c r="B25" s="26" t="s">
        <v>17</v>
      </c>
      <c r="C25" s="40">
        <f aca="true" t="shared" si="12" ref="C25:H25">+C21+C24</f>
        <v>10770</v>
      </c>
      <c r="D25" s="40">
        <f t="shared" si="12"/>
        <v>12917</v>
      </c>
      <c r="E25" s="40">
        <f t="shared" si="12"/>
        <v>3371</v>
      </c>
      <c r="F25" s="40">
        <f t="shared" si="12"/>
        <v>3190</v>
      </c>
      <c r="G25" s="40">
        <f t="shared" si="12"/>
        <v>2947</v>
      </c>
      <c r="H25" s="40">
        <f t="shared" si="12"/>
        <v>2867</v>
      </c>
      <c r="I25" s="40">
        <f t="shared" si="10"/>
        <v>12375</v>
      </c>
      <c r="J25" s="40">
        <f>+J21+J24</f>
        <v>3493</v>
      </c>
      <c r="K25" s="40">
        <f>+K21+K24</f>
        <v>2480</v>
      </c>
      <c r="L25" s="40">
        <f>+L21+L24</f>
        <v>2551</v>
      </c>
      <c r="M25" s="40">
        <f>+M21+M24</f>
        <v>2453</v>
      </c>
      <c r="N25" s="40">
        <f t="shared" si="8"/>
        <v>10977</v>
      </c>
      <c r="O25" s="40">
        <f>+O21+O24</f>
        <v>3057</v>
      </c>
      <c r="P25" s="40">
        <f>+P21+P24</f>
        <v>2452</v>
      </c>
      <c r="Q25" s="40">
        <f>+Q21+Q24</f>
        <v>2695</v>
      </c>
      <c r="R25" s="40">
        <f>+R21+R24</f>
        <v>2364</v>
      </c>
      <c r="S25" s="40">
        <f t="shared" si="9"/>
        <v>10568</v>
      </c>
    </row>
    <row r="26" spans="1:19" s="38" customFormat="1" ht="17.25" customHeight="1" thickBot="1">
      <c r="A26" s="37"/>
      <c r="B26" s="39" t="s">
        <v>92</v>
      </c>
      <c r="C26" s="40">
        <f aca="true" t="shared" si="13" ref="C26:H26">+C19-C20-C25</f>
        <v>-19014</v>
      </c>
      <c r="D26" s="40">
        <f t="shared" si="13"/>
        <v>6919</v>
      </c>
      <c r="E26" s="40">
        <f t="shared" si="13"/>
        <v>1778</v>
      </c>
      <c r="F26" s="40">
        <f t="shared" si="13"/>
        <v>636</v>
      </c>
      <c r="G26" s="40">
        <f t="shared" si="13"/>
        <v>583</v>
      </c>
      <c r="H26" s="40">
        <f t="shared" si="13"/>
        <v>597</v>
      </c>
      <c r="I26" s="40">
        <f t="shared" si="10"/>
        <v>3594</v>
      </c>
      <c r="J26" s="40">
        <f>+J19-J20-J25</f>
        <v>1402</v>
      </c>
      <c r="K26" s="40">
        <f>+K19-K20-K25</f>
        <v>177</v>
      </c>
      <c r="L26" s="40">
        <f>+L19-L20-L25</f>
        <v>-744</v>
      </c>
      <c r="M26" s="40">
        <f>+M19-M20-M25</f>
        <v>-1428</v>
      </c>
      <c r="N26" s="40">
        <f t="shared" si="8"/>
        <v>-593</v>
      </c>
      <c r="O26" s="40">
        <f>+O19-O20-O25</f>
        <v>907</v>
      </c>
      <c r="P26" s="40">
        <f>+P19-P20-P25</f>
        <v>314</v>
      </c>
      <c r="Q26" s="40">
        <f>+Q19-Q20-Q25</f>
        <v>483</v>
      </c>
      <c r="R26" s="40">
        <f>+R19-R20-R25</f>
        <v>298</v>
      </c>
      <c r="S26" s="40">
        <f t="shared" si="9"/>
        <v>2002</v>
      </c>
    </row>
    <row r="27" spans="1:19" s="38" customFormat="1" ht="12" customHeight="1">
      <c r="A27" s="37"/>
      <c r="B27" s="32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ht="17.25" customHeight="1">
      <c r="A28" s="7"/>
      <c r="B28" s="13" t="s">
        <v>96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7.25" customHeight="1">
      <c r="A29" s="7"/>
      <c r="B29" s="28" t="s">
        <v>36</v>
      </c>
      <c r="C29" s="93">
        <v>0</v>
      </c>
      <c r="D29" s="51">
        <f>+D25/D19*100</f>
        <v>64.1</v>
      </c>
      <c r="E29" s="51">
        <f>+E25/E19*100</f>
        <v>66.3</v>
      </c>
      <c r="F29" s="51">
        <f aca="true" t="shared" si="14" ref="F29:K29">+F25/F19*100</f>
        <v>83</v>
      </c>
      <c r="G29" s="51">
        <f t="shared" si="14"/>
        <v>83.9</v>
      </c>
      <c r="H29" s="51">
        <f t="shared" si="14"/>
        <v>83.4</v>
      </c>
      <c r="I29" s="51">
        <f t="shared" si="14"/>
        <v>78</v>
      </c>
      <c r="J29" s="51">
        <f t="shared" si="14"/>
        <v>71.6</v>
      </c>
      <c r="K29" s="51">
        <f t="shared" si="14"/>
        <v>92.8</v>
      </c>
      <c r="L29" s="51">
        <f aca="true" t="shared" si="15" ref="L29:Q29">+L25/L19*100</f>
        <v>136.9</v>
      </c>
      <c r="M29" s="51">
        <f t="shared" si="15"/>
        <v>234.1</v>
      </c>
      <c r="N29" s="51">
        <f t="shared" si="15"/>
        <v>104.9</v>
      </c>
      <c r="O29" s="51">
        <f t="shared" si="15"/>
        <v>77.2</v>
      </c>
      <c r="P29" s="51">
        <f t="shared" si="15"/>
        <v>89.1</v>
      </c>
      <c r="Q29" s="51">
        <f t="shared" si="15"/>
        <v>84.6</v>
      </c>
      <c r="R29" s="51">
        <f>+R25/R19*100</f>
        <v>88.7</v>
      </c>
      <c r="S29" s="51">
        <f>+S25/S19*100</f>
        <v>84.2</v>
      </c>
    </row>
    <row r="30" spans="1:19" ht="17.25" customHeight="1" thickBot="1">
      <c r="A30" s="7"/>
      <c r="B30" s="58" t="s">
        <v>37</v>
      </c>
      <c r="C30" s="94">
        <v>0</v>
      </c>
      <c r="D30" s="62">
        <f>+D26/D19*100</f>
        <v>34.3</v>
      </c>
      <c r="E30" s="62">
        <f>+E26/E19*100</f>
        <v>35</v>
      </c>
      <c r="F30" s="62">
        <f aca="true" t="shared" si="16" ref="F30:K30">+F26/F19*100</f>
        <v>16.5</v>
      </c>
      <c r="G30" s="62">
        <f t="shared" si="16"/>
        <v>16.6</v>
      </c>
      <c r="H30" s="62">
        <f t="shared" si="16"/>
        <v>17.4</v>
      </c>
      <c r="I30" s="62">
        <f t="shared" si="16"/>
        <v>22.6</v>
      </c>
      <c r="J30" s="62">
        <f t="shared" si="16"/>
        <v>28.8</v>
      </c>
      <c r="K30" s="62">
        <f t="shared" si="16"/>
        <v>6.6</v>
      </c>
      <c r="L30" s="62">
        <f aca="true" t="shared" si="17" ref="L30:Q30">+L26/L19*100</f>
        <v>-39.9</v>
      </c>
      <c r="M30" s="62">
        <f t="shared" si="17"/>
        <v>-136.3</v>
      </c>
      <c r="N30" s="62">
        <f t="shared" si="17"/>
        <v>-5.7</v>
      </c>
      <c r="O30" s="62">
        <f t="shared" si="17"/>
        <v>22.9</v>
      </c>
      <c r="P30" s="62">
        <f t="shared" si="17"/>
        <v>11.4</v>
      </c>
      <c r="Q30" s="62">
        <f t="shared" si="17"/>
        <v>15.2</v>
      </c>
      <c r="R30" s="62">
        <f>+R26/R19*100</f>
        <v>11.2</v>
      </c>
      <c r="S30" s="62">
        <f>+S26/S19*100</f>
        <v>15.9</v>
      </c>
    </row>
    <row r="31" spans="1:19" ht="17.25" customHeight="1">
      <c r="A31" s="7"/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7.25" customHeight="1">
      <c r="A32" s="7"/>
      <c r="B32" s="13" t="s">
        <v>56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s="18" customFormat="1" ht="30.75" customHeight="1" thickBot="1">
      <c r="A33" s="341"/>
      <c r="B33" s="392" t="s">
        <v>84</v>
      </c>
      <c r="C33" s="395">
        <v>27426</v>
      </c>
      <c r="D33" s="395">
        <v>19051</v>
      </c>
      <c r="E33" s="395">
        <v>19715</v>
      </c>
      <c r="F33" s="395">
        <v>21136</v>
      </c>
      <c r="G33" s="395">
        <v>20207</v>
      </c>
      <c r="H33" s="395">
        <v>18501</v>
      </c>
      <c r="I33" s="395">
        <v>19586</v>
      </c>
      <c r="J33" s="268">
        <v>18643</v>
      </c>
      <c r="K33" s="268">
        <v>18871</v>
      </c>
      <c r="L33" s="268">
        <v>18666</v>
      </c>
      <c r="M33" s="268">
        <v>19289</v>
      </c>
      <c r="N33" s="268">
        <v>18882</v>
      </c>
      <c r="O33" s="268">
        <v>19254</v>
      </c>
      <c r="P33" s="268">
        <v>19172</v>
      </c>
      <c r="Q33" s="268">
        <v>18570</v>
      </c>
      <c r="R33" s="342">
        <v>17757</v>
      </c>
      <c r="S33" s="342">
        <v>18729</v>
      </c>
    </row>
    <row r="34" spans="1:19" s="18" customFormat="1" ht="31.5" customHeight="1" thickBot="1">
      <c r="A34" s="7"/>
      <c r="B34" s="117" t="s">
        <v>83</v>
      </c>
      <c r="C34" s="94">
        <v>-68.9</v>
      </c>
      <c r="D34" s="94">
        <v>37</v>
      </c>
      <c r="E34" s="94">
        <v>36.7</v>
      </c>
      <c r="F34" s="94">
        <v>12.7</v>
      </c>
      <c r="G34" s="94">
        <v>12.2</v>
      </c>
      <c r="H34" s="94">
        <v>13.5</v>
      </c>
      <c r="I34" s="94">
        <v>19</v>
      </c>
      <c r="J34" s="59">
        <v>30.7</v>
      </c>
      <c r="K34" s="59">
        <v>4.3</v>
      </c>
      <c r="L34" s="59">
        <v>-15.4</v>
      </c>
      <c r="M34" s="59">
        <v>-28.9</v>
      </c>
      <c r="N34" s="59">
        <v>-2.6</v>
      </c>
      <c r="O34" s="59">
        <v>19.5</v>
      </c>
      <c r="P34" s="59">
        <v>7.3</v>
      </c>
      <c r="Q34" s="59">
        <v>11.2</v>
      </c>
      <c r="R34" s="59">
        <v>7.5</v>
      </c>
      <c r="S34" s="59">
        <v>11.4</v>
      </c>
    </row>
    <row r="35" spans="1:19" ht="17.25" customHeight="1">
      <c r="A35" s="7"/>
      <c r="B35" s="11"/>
      <c r="C35" s="15"/>
      <c r="D35" s="15"/>
      <c r="E35" s="107"/>
      <c r="F35" s="107"/>
      <c r="G35" s="107"/>
      <c r="H35" s="107"/>
      <c r="I35" s="15"/>
      <c r="J35" s="107"/>
      <c r="K35" s="107"/>
      <c r="L35" s="107"/>
      <c r="M35" s="107"/>
      <c r="N35" s="15"/>
      <c r="O35" s="107"/>
      <c r="P35" s="107"/>
      <c r="Q35" s="107"/>
      <c r="R35" s="107"/>
      <c r="S35" s="15"/>
    </row>
    <row r="36" spans="1:19" ht="17.25" customHeight="1">
      <c r="A36" s="7"/>
      <c r="B36" s="13" t="s">
        <v>39</v>
      </c>
      <c r="C36" s="15"/>
      <c r="D36" s="15"/>
      <c r="E36" s="107"/>
      <c r="F36" s="107"/>
      <c r="G36" s="107"/>
      <c r="H36" s="107"/>
      <c r="I36" s="15"/>
      <c r="J36" s="107"/>
      <c r="K36" s="107"/>
      <c r="L36" s="107"/>
      <c r="M36" s="107"/>
      <c r="N36" s="15"/>
      <c r="O36" s="107"/>
      <c r="P36" s="107"/>
      <c r="Q36" s="107"/>
      <c r="R36" s="107"/>
      <c r="S36" s="15"/>
    </row>
    <row r="37" spans="1:19" ht="17.25" customHeight="1">
      <c r="A37" s="7"/>
      <c r="B37" s="28" t="s">
        <v>40</v>
      </c>
      <c r="C37" s="265" t="s">
        <v>166</v>
      </c>
      <c r="D37" s="265">
        <v>788672</v>
      </c>
      <c r="E37" s="103">
        <v>812807</v>
      </c>
      <c r="F37" s="103">
        <v>870928</v>
      </c>
      <c r="G37" s="103">
        <v>811180</v>
      </c>
      <c r="H37" s="103">
        <v>783266</v>
      </c>
      <c r="I37" s="50">
        <f>+H37</f>
        <v>783266</v>
      </c>
      <c r="J37" s="103">
        <v>761528</v>
      </c>
      <c r="K37" s="103">
        <v>727106</v>
      </c>
      <c r="L37" s="103">
        <v>798688</v>
      </c>
      <c r="M37" s="103">
        <v>790167</v>
      </c>
      <c r="N37" s="50">
        <f>+M37</f>
        <v>790167</v>
      </c>
      <c r="O37" s="103">
        <v>740269</v>
      </c>
      <c r="P37" s="103">
        <v>779412</v>
      </c>
      <c r="Q37" s="103">
        <v>753130</v>
      </c>
      <c r="R37" s="103">
        <v>658622</v>
      </c>
      <c r="S37" s="50">
        <f>+R37</f>
        <v>658622</v>
      </c>
    </row>
    <row r="38" spans="1:19" ht="17.25" customHeight="1">
      <c r="A38" s="7"/>
      <c r="B38" s="14" t="s">
        <v>41</v>
      </c>
      <c r="C38" s="265">
        <v>60837</v>
      </c>
      <c r="D38" s="265">
        <v>61175</v>
      </c>
      <c r="E38" s="103">
        <v>49978</v>
      </c>
      <c r="F38" s="103">
        <v>44816</v>
      </c>
      <c r="G38" s="103">
        <v>39639</v>
      </c>
      <c r="H38" s="103">
        <v>35970</v>
      </c>
      <c r="I38" s="50">
        <f>+H38</f>
        <v>35970</v>
      </c>
      <c r="J38" s="103">
        <v>36721</v>
      </c>
      <c r="K38" s="103">
        <v>33333</v>
      </c>
      <c r="L38" s="103">
        <v>34256</v>
      </c>
      <c r="M38" s="103">
        <v>37134</v>
      </c>
      <c r="N38" s="50">
        <f>+M38</f>
        <v>37134</v>
      </c>
      <c r="O38" s="103">
        <v>34063</v>
      </c>
      <c r="P38" s="103">
        <v>36623</v>
      </c>
      <c r="Q38" s="103">
        <v>37178</v>
      </c>
      <c r="R38" s="103">
        <v>34501</v>
      </c>
      <c r="S38" s="50">
        <f>+R38</f>
        <v>34501</v>
      </c>
    </row>
    <row r="39" spans="1:19" ht="17.25" customHeight="1" thickBot="1">
      <c r="A39" s="7"/>
      <c r="B39" s="58" t="s">
        <v>42</v>
      </c>
      <c r="C39" s="268">
        <v>6705</v>
      </c>
      <c r="D39" s="268">
        <v>6581</v>
      </c>
      <c r="E39" s="104">
        <v>6689</v>
      </c>
      <c r="F39" s="104">
        <v>6825</v>
      </c>
      <c r="G39" s="104">
        <v>6307</v>
      </c>
      <c r="H39" s="104">
        <v>6104</v>
      </c>
      <c r="I39" s="63">
        <f>+H39</f>
        <v>6104</v>
      </c>
      <c r="J39" s="104">
        <v>5988</v>
      </c>
      <c r="K39" s="104">
        <v>5613</v>
      </c>
      <c r="L39" s="104">
        <v>5954</v>
      </c>
      <c r="M39" s="104">
        <v>6120</v>
      </c>
      <c r="N39" s="63">
        <f>+M39</f>
        <v>6120</v>
      </c>
      <c r="O39" s="104">
        <v>5929</v>
      </c>
      <c r="P39" s="104">
        <v>6149</v>
      </c>
      <c r="Q39" s="104">
        <v>6115</v>
      </c>
      <c r="R39" s="104">
        <v>5980</v>
      </c>
      <c r="S39" s="63">
        <f>+R39</f>
        <v>5980</v>
      </c>
    </row>
    <row r="40" spans="1:19" ht="17.25" customHeight="1">
      <c r="A40" s="7"/>
      <c r="B40" s="11"/>
      <c r="C40" s="15"/>
      <c r="D40" s="15"/>
      <c r="E40" s="107"/>
      <c r="F40" s="107"/>
      <c r="G40" s="107"/>
      <c r="H40" s="107"/>
      <c r="I40" s="15"/>
      <c r="J40" s="107"/>
      <c r="K40" s="107"/>
      <c r="L40" s="107"/>
      <c r="M40" s="107"/>
      <c r="N40" s="15"/>
      <c r="O40" s="107"/>
      <c r="P40" s="107"/>
      <c r="Q40" s="107"/>
      <c r="R40" s="107"/>
      <c r="S40" s="15"/>
    </row>
    <row r="41" spans="1:19" ht="17.25" customHeight="1">
      <c r="A41" s="7"/>
      <c r="B41" s="13" t="s">
        <v>57</v>
      </c>
      <c r="C41" s="15"/>
      <c r="D41" s="15"/>
      <c r="E41" s="107"/>
      <c r="F41" s="107"/>
      <c r="G41" s="107"/>
      <c r="H41" s="107"/>
      <c r="I41" s="15"/>
      <c r="J41" s="107"/>
      <c r="K41" s="107"/>
      <c r="L41" s="107"/>
      <c r="M41" s="107"/>
      <c r="N41" s="15"/>
      <c r="O41" s="107"/>
      <c r="P41" s="107"/>
      <c r="Q41" s="107"/>
      <c r="R41" s="107"/>
      <c r="S41" s="15"/>
    </row>
    <row r="42" spans="1:19" ht="17.25" customHeight="1" thickBot="1">
      <c r="A42" s="7"/>
      <c r="B42" s="58" t="s">
        <v>58</v>
      </c>
      <c r="C42" s="125">
        <f>+'Core Results'!C42</f>
        <v>19400</v>
      </c>
      <c r="D42" s="125">
        <f>+'Core Results'!D42</f>
        <v>19200</v>
      </c>
      <c r="E42" s="125">
        <f>+'Core Results'!E42</f>
        <v>19800</v>
      </c>
      <c r="F42" s="125">
        <f>+'Core Results'!F42</f>
        <v>20300</v>
      </c>
      <c r="G42" s="125">
        <f>+'Core Results'!G42</f>
        <v>21000</v>
      </c>
      <c r="H42" s="125">
        <f>+'Core Results'!H42</f>
        <v>20500</v>
      </c>
      <c r="I42" s="63">
        <f>+H42</f>
        <v>20500</v>
      </c>
      <c r="J42" s="125">
        <f>+'Core Results'!J42</f>
        <v>20600</v>
      </c>
      <c r="K42" s="125">
        <f>+'Core Results'!K42</f>
        <v>21200</v>
      </c>
      <c r="L42" s="125">
        <f>+'Core Results'!L42</f>
        <v>21400</v>
      </c>
      <c r="M42" s="125">
        <f>+'Core Results'!M42</f>
        <v>20700</v>
      </c>
      <c r="N42" s="63">
        <f>+M42</f>
        <v>20700</v>
      </c>
      <c r="O42" s="125">
        <f>+'Core Results'!O42</f>
        <v>20600</v>
      </c>
      <c r="P42" s="125">
        <f>+'Core Results'!P42</f>
        <v>20000</v>
      </c>
      <c r="Q42" s="125">
        <f>+'Core Results'!Q42</f>
        <v>20100</v>
      </c>
      <c r="R42" s="125">
        <f>+'Core Results'!R42</f>
        <v>19800</v>
      </c>
      <c r="S42" s="63">
        <f>+R42</f>
        <v>19800</v>
      </c>
    </row>
    <row r="43" spans="1:19" ht="17.25" customHeight="1">
      <c r="A43" s="7"/>
      <c r="B43" s="11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1:19" ht="17.25" customHeight="1">
      <c r="A44" s="7"/>
      <c r="B44" s="13" t="s">
        <v>168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1:19" ht="17.25" customHeight="1">
      <c r="A45" s="7"/>
      <c r="B45" s="383" t="s">
        <v>208</v>
      </c>
      <c r="C45" s="101" t="s">
        <v>166</v>
      </c>
      <c r="D45" s="384" t="s">
        <v>166</v>
      </c>
      <c r="E45" s="101">
        <v>75</v>
      </c>
      <c r="F45" s="101">
        <v>94</v>
      </c>
      <c r="G45" s="101">
        <v>105</v>
      </c>
      <c r="H45" s="101">
        <v>101</v>
      </c>
      <c r="I45" s="101">
        <v>94</v>
      </c>
      <c r="J45" s="101">
        <v>84</v>
      </c>
      <c r="K45" s="101">
        <v>71</v>
      </c>
      <c r="L45" s="101">
        <v>70</v>
      </c>
      <c r="M45" s="101">
        <v>74</v>
      </c>
      <c r="N45" s="101">
        <v>74</v>
      </c>
      <c r="O45" s="101">
        <v>67</v>
      </c>
      <c r="P45" s="101">
        <v>55</v>
      </c>
      <c r="Q45" s="101">
        <v>46</v>
      </c>
      <c r="R45" s="101">
        <v>44</v>
      </c>
      <c r="S45" s="101">
        <v>53</v>
      </c>
    </row>
    <row r="46" spans="1:19" ht="17.25" customHeight="1">
      <c r="A46" s="7"/>
      <c r="B46" s="16" t="s">
        <v>33</v>
      </c>
      <c r="C46" s="96" t="s">
        <v>166</v>
      </c>
      <c r="D46" s="386" t="s">
        <v>166</v>
      </c>
      <c r="E46" s="96">
        <v>11</v>
      </c>
      <c r="F46" s="96">
        <v>20</v>
      </c>
      <c r="G46" s="96">
        <v>18</v>
      </c>
      <c r="H46" s="96">
        <v>16</v>
      </c>
      <c r="I46" s="96">
        <v>16</v>
      </c>
      <c r="J46" s="96">
        <v>18</v>
      </c>
      <c r="K46" s="96">
        <v>13</v>
      </c>
      <c r="L46" s="96">
        <v>9</v>
      </c>
      <c r="M46" s="96">
        <v>14</v>
      </c>
      <c r="N46" s="96">
        <v>13</v>
      </c>
      <c r="O46" s="96">
        <v>24</v>
      </c>
      <c r="P46" s="96">
        <v>18</v>
      </c>
      <c r="Q46" s="96">
        <v>8</v>
      </c>
      <c r="R46" s="96">
        <v>9</v>
      </c>
      <c r="S46" s="96">
        <v>15</v>
      </c>
    </row>
    <row r="47" spans="1:19" ht="17.25" customHeight="1">
      <c r="A47" s="7"/>
      <c r="B47" s="16" t="s">
        <v>34</v>
      </c>
      <c r="C47" s="96" t="s">
        <v>166</v>
      </c>
      <c r="D47" s="386" t="s">
        <v>166</v>
      </c>
      <c r="E47" s="96">
        <v>14</v>
      </c>
      <c r="F47" s="96">
        <v>14</v>
      </c>
      <c r="G47" s="96">
        <v>14</v>
      </c>
      <c r="H47" s="96">
        <v>17</v>
      </c>
      <c r="I47" s="96">
        <v>15</v>
      </c>
      <c r="J47" s="96">
        <v>17</v>
      </c>
      <c r="K47" s="96">
        <v>13</v>
      </c>
      <c r="L47" s="96">
        <v>7</v>
      </c>
      <c r="M47" s="96">
        <v>3</v>
      </c>
      <c r="N47" s="96">
        <v>9</v>
      </c>
      <c r="O47" s="96">
        <v>4</v>
      </c>
      <c r="P47" s="96">
        <v>3</v>
      </c>
      <c r="Q47" s="96">
        <v>3</v>
      </c>
      <c r="R47" s="96">
        <v>2</v>
      </c>
      <c r="S47" s="96">
        <v>3</v>
      </c>
    </row>
    <row r="48" spans="1:19" ht="17.25" customHeight="1">
      <c r="A48" s="7"/>
      <c r="B48" s="16" t="s">
        <v>1</v>
      </c>
      <c r="C48" s="96" t="s">
        <v>166</v>
      </c>
      <c r="D48" s="386" t="s">
        <v>166</v>
      </c>
      <c r="E48" s="96">
        <v>20</v>
      </c>
      <c r="F48" s="96">
        <v>27</v>
      </c>
      <c r="G48" s="96">
        <v>28</v>
      </c>
      <c r="H48" s="96">
        <v>25</v>
      </c>
      <c r="I48" s="96">
        <v>25</v>
      </c>
      <c r="J48" s="96">
        <v>22</v>
      </c>
      <c r="K48" s="96">
        <v>22</v>
      </c>
      <c r="L48" s="96">
        <v>21</v>
      </c>
      <c r="M48" s="96">
        <v>26</v>
      </c>
      <c r="N48" s="96">
        <v>23</v>
      </c>
      <c r="O48" s="96">
        <v>22</v>
      </c>
      <c r="P48" s="96">
        <v>21</v>
      </c>
      <c r="Q48" s="96">
        <v>28</v>
      </c>
      <c r="R48" s="96">
        <v>19</v>
      </c>
      <c r="S48" s="96">
        <v>23</v>
      </c>
    </row>
    <row r="49" spans="1:19" ht="17.25" customHeight="1">
      <c r="A49" s="7"/>
      <c r="B49" s="29" t="s">
        <v>35</v>
      </c>
      <c r="C49" s="112" t="s">
        <v>166</v>
      </c>
      <c r="D49" s="398" t="s">
        <v>166</v>
      </c>
      <c r="E49" s="112">
        <v>-42</v>
      </c>
      <c r="F49" s="112">
        <v>-51</v>
      </c>
      <c r="G49" s="112">
        <v>-53</v>
      </c>
      <c r="H49" s="112">
        <v>-52</v>
      </c>
      <c r="I49" s="112">
        <v>-50</v>
      </c>
      <c r="J49" s="112">
        <v>-51</v>
      </c>
      <c r="K49" s="112">
        <v>-40</v>
      </c>
      <c r="L49" s="112">
        <v>-30</v>
      </c>
      <c r="M49" s="112">
        <v>-41</v>
      </c>
      <c r="N49" s="112">
        <v>-39</v>
      </c>
      <c r="O49" s="112">
        <v>-47</v>
      </c>
      <c r="P49" s="112">
        <v>-34</v>
      </c>
      <c r="Q49" s="112">
        <v>-40</v>
      </c>
      <c r="R49" s="112">
        <v>-31</v>
      </c>
      <c r="S49" s="112">
        <v>-39</v>
      </c>
    </row>
    <row r="50" spans="1:19" ht="17.25" customHeight="1" thickBot="1">
      <c r="A50" s="7"/>
      <c r="B50" s="26" t="s">
        <v>167</v>
      </c>
      <c r="C50" s="40" t="s">
        <v>166</v>
      </c>
      <c r="D50" s="40" t="s">
        <v>166</v>
      </c>
      <c r="E50" s="40">
        <f>SUM(E45:E49)</f>
        <v>78</v>
      </c>
      <c r="F50" s="40">
        <f>SUM(F45:F49)</f>
        <v>104</v>
      </c>
      <c r="G50" s="40">
        <f>SUM(G45:G49)</f>
        <v>112</v>
      </c>
      <c r="H50" s="40">
        <f aca="true" t="shared" si="18" ref="H50:N50">SUM(H45:H49)</f>
        <v>107</v>
      </c>
      <c r="I50" s="40">
        <f t="shared" si="18"/>
        <v>100</v>
      </c>
      <c r="J50" s="40">
        <f t="shared" si="18"/>
        <v>90</v>
      </c>
      <c r="K50" s="40">
        <f t="shared" si="18"/>
        <v>79</v>
      </c>
      <c r="L50" s="40">
        <f t="shared" si="18"/>
        <v>77</v>
      </c>
      <c r="M50" s="40">
        <f t="shared" si="18"/>
        <v>76</v>
      </c>
      <c r="N50" s="40">
        <f t="shared" si="18"/>
        <v>80</v>
      </c>
      <c r="O50" s="40">
        <f>SUM(O45:O49)</f>
        <v>70</v>
      </c>
      <c r="P50" s="40">
        <f>SUM(P45:P49)</f>
        <v>63</v>
      </c>
      <c r="Q50" s="40">
        <f>SUM(Q45:Q49)</f>
        <v>45</v>
      </c>
      <c r="R50" s="40">
        <f>SUM(R45:R49)</f>
        <v>43</v>
      </c>
      <c r="S50" s="40">
        <f>SUM(S45:S49)</f>
        <v>55</v>
      </c>
    </row>
    <row r="51" spans="1:19" ht="17.25" customHeight="1">
      <c r="A51" s="7"/>
      <c r="B51" s="1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ht="17.2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1.25" customHeight="1">
      <c r="A53" s="7"/>
      <c r="B53" s="1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17.25" customHeight="1">
      <c r="A54" s="7"/>
      <c r="B54" s="289" t="s">
        <v>207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7" ht="13.5" customHeight="1"/>
    <row r="73" ht="11.25" customHeight="1"/>
  </sheetData>
  <sheetProtection/>
  <mergeCells count="1">
    <mergeCell ref="B1:B2"/>
  </mergeCells>
  <conditionalFormatting sqref="C16:N16">
    <cfRule type="cellIs" priority="6" dxfId="0" operator="equal" stopIfTrue="1">
      <formula>"Error"</formula>
    </cfRule>
  </conditionalFormatting>
  <conditionalFormatting sqref="O16">
    <cfRule type="cellIs" priority="5" dxfId="0" operator="equal" stopIfTrue="1">
      <formula>"Error"</formula>
    </cfRule>
  </conditionalFormatting>
  <conditionalFormatting sqref="P16">
    <cfRule type="cellIs" priority="4" dxfId="0" operator="equal" stopIfTrue="1">
      <formula>"Error"</formula>
    </cfRule>
  </conditionalFormatting>
  <conditionalFormatting sqref="Q16">
    <cfRule type="cellIs" priority="3" dxfId="0" operator="equal" stopIfTrue="1">
      <formula>"Error"</formula>
    </cfRule>
  </conditionalFormatting>
  <conditionalFormatting sqref="R16">
    <cfRule type="cellIs" priority="2" dxfId="0" operator="equal" stopIfTrue="1">
      <formula>"Error"</formula>
    </cfRule>
  </conditionalFormatting>
  <conditionalFormatting sqref="S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5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N21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19" width="11.57421875" style="1" customWidth="1"/>
    <col min="20" max="16384" width="1.7109375" style="1" customWidth="1"/>
  </cols>
  <sheetData>
    <row r="1" spans="1:19" ht="21.75" customHeight="1">
      <c r="A1" s="2"/>
      <c r="B1" s="406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40" s="18" customFormat="1" ht="17.25" customHeight="1" thickBot="1">
      <c r="A7" s="7"/>
      <c r="B7" s="26" t="s">
        <v>11</v>
      </c>
      <c r="C7" s="40">
        <f>+'Core Results'!C11-'Investment Banking'!C19-'PB &amp; WM'!C7</f>
        <v>5335</v>
      </c>
      <c r="D7" s="40">
        <f>+'Core Results'!D11-'Investment Banking'!D19-'PB &amp; WM'!D7</f>
        <v>-1141</v>
      </c>
      <c r="E7" s="40">
        <f>+'Core Results'!E11-'Investment Banking'!E19-'PB &amp; WM'!E7</f>
        <v>124</v>
      </c>
      <c r="F7" s="40">
        <f>+'Core Results'!F11-'Investment Banking'!F19-'PB &amp; WM'!F7</f>
        <v>894</v>
      </c>
      <c r="G7" s="40">
        <f>+'Core Results'!G11-'Investment Banking'!G19-'PB &amp; WM'!G7</f>
        <v>-765</v>
      </c>
      <c r="H7" s="40">
        <f>+'Core Results'!H11-'Investment Banking'!H19-'PB &amp; WM'!H7</f>
        <v>-81</v>
      </c>
      <c r="I7" s="40">
        <f>+'Core Results'!I11-'Investment Banking'!I19-'PB &amp; WM'!I7</f>
        <v>172</v>
      </c>
      <c r="J7" s="40">
        <f>+'Core Results'!J11-'Investment Banking'!J19-'PB &amp; WM'!J7</f>
        <v>-732</v>
      </c>
      <c r="K7" s="40">
        <f>+'Core Results'!K11-'Investment Banking'!K19-'PB &amp; WM'!K7</f>
        <v>173</v>
      </c>
      <c r="L7" s="40">
        <f>+'Core Results'!L11-'Investment Banking'!L19-'PB &amp; WM'!L7</f>
        <v>1743</v>
      </c>
      <c r="M7" s="40">
        <f>+'Core Results'!M11-'Investment Banking'!M19-'PB &amp; WM'!M7</f>
        <v>338</v>
      </c>
      <c r="N7" s="40">
        <f>+'Core Results'!N11-'Investment Banking'!N19-'PB &amp; WM'!N7</f>
        <v>1522</v>
      </c>
      <c r="O7" s="40">
        <f>+'Core Results'!O11-'Investment Banking'!O19-'PB &amp; WM'!O7</f>
        <v>-1566</v>
      </c>
      <c r="P7" s="40">
        <f>+'Core Results'!P11-'Investment Banking'!P19-'PB &amp; WM'!P7</f>
        <v>78</v>
      </c>
      <c r="Q7" s="40">
        <f>+'Core Results'!Q11-'Investment Banking'!Q19-'PB &amp; WM'!Q7</f>
        <v>-728</v>
      </c>
      <c r="R7" s="40">
        <f>+'Core Results'!R11-'Investment Banking'!R19-'PB &amp; WM'!R7</f>
        <v>-277</v>
      </c>
      <c r="S7" s="40">
        <f>+'Core Results'!S11-'Investment Banking'!S19-'PB &amp; WM'!S7</f>
        <v>-2493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18" customFormat="1" ht="17.25" customHeight="1" thickBot="1">
      <c r="A8" s="7"/>
      <c r="B8" s="26" t="s">
        <v>12</v>
      </c>
      <c r="C8" s="40">
        <f>'Core Results'!C12-'PB &amp; WM'!C8-'Investment Banking'!C20</f>
        <v>1</v>
      </c>
      <c r="D8" s="40">
        <f>'Core Results'!D12-'PB &amp; WM'!D8-'Investment Banking'!D20</f>
        <v>0</v>
      </c>
      <c r="E8" s="40">
        <f>'Core Results'!E12-'PB &amp; WM'!E8-'Investment Banking'!E20</f>
        <v>0</v>
      </c>
      <c r="F8" s="40">
        <f>'Core Results'!F12-'PB &amp; WM'!F8-'Investment Banking'!F20</f>
        <v>0</v>
      </c>
      <c r="G8" s="40">
        <f>'Core Results'!G12-'PB &amp; WM'!G8-'Investment Banking'!G20</f>
        <v>0</v>
      </c>
      <c r="H8" s="40">
        <f>'Core Results'!H12-'PB &amp; WM'!H8-'Investment Banking'!H20</f>
        <v>0</v>
      </c>
      <c r="I8" s="40">
        <f>'Core Results'!I12-'PB &amp; WM'!I8-'Investment Banking'!I20</f>
        <v>0</v>
      </c>
      <c r="J8" s="40">
        <f>'Core Results'!J12-'PB &amp; WM'!J8-'Investment Banking'!J20</f>
        <v>0</v>
      </c>
      <c r="K8" s="40">
        <f>'Core Results'!K12-'PB &amp; WM'!K8-'Investment Banking'!K20</f>
        <v>0</v>
      </c>
      <c r="L8" s="40">
        <f>'Core Results'!L12-'PB &amp; WM'!L8-'Investment Banking'!L20</f>
        <v>0</v>
      </c>
      <c r="M8" s="40">
        <f>'Core Results'!M12-'PB &amp; WM'!M8-'Investment Banking'!M20</f>
        <v>0</v>
      </c>
      <c r="N8" s="40">
        <f>'Core Results'!N12-'PB &amp; WM'!N8-'Investment Banking'!N20</f>
        <v>0</v>
      </c>
      <c r="O8" s="40">
        <f>'Core Results'!O12-'PB &amp; WM'!O8-'Investment Banking'!O20</f>
        <v>0</v>
      </c>
      <c r="P8" s="40">
        <f>'Core Results'!P12-'PB &amp; WM'!P8-'Investment Banking'!P20</f>
        <v>0</v>
      </c>
      <c r="Q8" s="40">
        <f>'Core Results'!Q12-'PB &amp; WM'!Q8-'Investment Banking'!Q20</f>
        <v>0</v>
      </c>
      <c r="R8" s="40">
        <f>'Core Results'!R12-'PB &amp; WM'!R8-'Investment Banking'!R20</f>
        <v>0</v>
      </c>
      <c r="S8" s="40">
        <f>'Core Results'!S12-'PB &amp; WM'!S8-'Investment Banking'!S20</f>
        <v>0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19" ht="17.25" customHeight="1">
      <c r="A9" s="7"/>
      <c r="B9" s="28" t="s">
        <v>13</v>
      </c>
      <c r="C9" s="52">
        <f>'Core Results'!C13-'PB &amp; WM'!C9-'Investment Banking'!C21</f>
        <v>858</v>
      </c>
      <c r="D9" s="52">
        <f>'Core Results'!D13-'PB &amp; WM'!D9-'Investment Banking'!D21</f>
        <v>534</v>
      </c>
      <c r="E9" s="52">
        <f>'Core Results'!E13-'PB &amp; WM'!E9-'Investment Banking'!E21</f>
        <v>102</v>
      </c>
      <c r="F9" s="52">
        <f>'Core Results'!F13-'PB &amp; WM'!F9-'Investment Banking'!F21</f>
        <v>465</v>
      </c>
      <c r="G9" s="52">
        <f>'Core Results'!G13-'PB &amp; WM'!G9-'Investment Banking'!G21</f>
        <v>55</v>
      </c>
      <c r="H9" s="52">
        <f>'Core Results'!H13-'PB &amp; WM'!H9-'Investment Banking'!H21</f>
        <v>88</v>
      </c>
      <c r="I9" s="52">
        <f>'Core Results'!I13-'PB &amp; WM'!I9-'Investment Banking'!I21</f>
        <v>710</v>
      </c>
      <c r="J9" s="52">
        <f>'Core Results'!J13-'PB &amp; WM'!J9-'Investment Banking'!J21</f>
        <v>133</v>
      </c>
      <c r="K9" s="52">
        <f>'Core Results'!K13-'PB &amp; WM'!K9-'Investment Banking'!K21</f>
        <v>263</v>
      </c>
      <c r="L9" s="52">
        <f>'Core Results'!L13-'PB &amp; WM'!L9-'Investment Banking'!L21</f>
        <v>227</v>
      </c>
      <c r="M9" s="52">
        <f>'Core Results'!M13-'PB &amp; WM'!M9-'Investment Banking'!M21</f>
        <v>328</v>
      </c>
      <c r="N9" s="52">
        <f>'Core Results'!N13-'PB &amp; WM'!N9-'Investment Banking'!N21</f>
        <v>951</v>
      </c>
      <c r="O9" s="52">
        <f>'Core Results'!O13-'PB &amp; WM'!O9-'Investment Banking'!O21</f>
        <v>167</v>
      </c>
      <c r="P9" s="52">
        <f>'Core Results'!P13-'PB &amp; WM'!P9-'Investment Banking'!P21</f>
        <v>180</v>
      </c>
      <c r="Q9" s="52">
        <f>'Core Results'!Q13-'PB &amp; WM'!Q9-'Investment Banking'!Q21</f>
        <v>276</v>
      </c>
      <c r="R9" s="52">
        <f>'Core Results'!R13-'PB &amp; WM'!R9-'Investment Banking'!R21</f>
        <v>240</v>
      </c>
      <c r="S9" s="52">
        <f>'Core Results'!S13-'PB &amp; WM'!S9-'Investment Banking'!S21</f>
        <v>863</v>
      </c>
    </row>
    <row r="10" spans="1:19" ht="17.25" customHeight="1">
      <c r="A10" s="7"/>
      <c r="B10" s="89" t="s">
        <v>14</v>
      </c>
      <c r="C10" s="90">
        <f>'Core Results'!C14-'PB &amp; WM'!C10-'Investment Banking'!C22</f>
        <v>422</v>
      </c>
      <c r="D10" s="90">
        <f>'Core Results'!D14-'PB &amp; WM'!D10-'Investment Banking'!D22</f>
        <v>908</v>
      </c>
      <c r="E10" s="90">
        <f>'Core Results'!E14-'PB &amp; WM'!E10-'Investment Banking'!E22</f>
        <v>28</v>
      </c>
      <c r="F10" s="90">
        <f>'Core Results'!F14-'PB &amp; WM'!F10-'Investment Banking'!F22</f>
        <v>234</v>
      </c>
      <c r="G10" s="90">
        <f>'Core Results'!G14-'PB &amp; WM'!G10-'Investment Banking'!G22</f>
        <v>4</v>
      </c>
      <c r="H10" s="90">
        <f>'Core Results'!H14-'PB &amp; WM'!H10-'Investment Banking'!H22</f>
        <v>57</v>
      </c>
      <c r="I10" s="90">
        <f>'Core Results'!I14-'PB &amp; WM'!I10-'Investment Banking'!I22</f>
        <v>323</v>
      </c>
      <c r="J10" s="90">
        <f>'Core Results'!J14-'PB &amp; WM'!J10-'Investment Banking'!J22</f>
        <v>1</v>
      </c>
      <c r="K10" s="90">
        <f>'Core Results'!K14-'PB &amp; WM'!K10-'Investment Banking'!K22</f>
        <v>5</v>
      </c>
      <c r="L10" s="90">
        <f>'Core Results'!L14-'PB &amp; WM'!L10-'Investment Banking'!L22</f>
        <v>44</v>
      </c>
      <c r="M10" s="90">
        <f>'Core Results'!M14-'PB &amp; WM'!M10-'Investment Banking'!M22</f>
        <v>94</v>
      </c>
      <c r="N10" s="90">
        <f>'Core Results'!N14-'PB &amp; WM'!N10-'Investment Banking'!N22</f>
        <v>144</v>
      </c>
      <c r="O10" s="90">
        <f>'Core Results'!O14-'PB &amp; WM'!O10-'Investment Banking'!O22</f>
        <v>67</v>
      </c>
      <c r="P10" s="90">
        <f>'Core Results'!P14-'PB &amp; WM'!P10-'Investment Banking'!P22</f>
        <v>69</v>
      </c>
      <c r="Q10" s="90">
        <f>'Core Results'!Q14-'PB &amp; WM'!Q10-'Investment Banking'!Q22</f>
        <v>53</v>
      </c>
      <c r="R10" s="90">
        <f>'Core Results'!R14-'PB &amp; WM'!R10-'Investment Banking'!R22</f>
        <v>329</v>
      </c>
      <c r="S10" s="90">
        <f>'Core Results'!S14-'PB &amp; WM'!S10-'Investment Banking'!S22</f>
        <v>518</v>
      </c>
    </row>
    <row r="11" spans="1:19" s="18" customFormat="1" ht="17.25" customHeight="1">
      <c r="A11" s="7"/>
      <c r="B11" s="27" t="s">
        <v>15</v>
      </c>
      <c r="C11" s="53">
        <f>'Core Results'!C15-'PB &amp; WM'!C11-'Investment Banking'!C23</f>
        <v>49</v>
      </c>
      <c r="D11" s="53">
        <f>'Core Results'!D15-'PB &amp; WM'!D11-'Investment Banking'!D23</f>
        <v>82</v>
      </c>
      <c r="E11" s="53">
        <f>'Core Results'!E15-'PB &amp; WM'!E11-'Investment Banking'!E23</f>
        <v>2</v>
      </c>
      <c r="F11" s="53">
        <f>'Core Results'!F15-'PB &amp; WM'!F11-'Investment Banking'!F23</f>
        <v>3</v>
      </c>
      <c r="G11" s="53">
        <f>'Core Results'!G15-'PB &amp; WM'!G11-'Investment Banking'!G23</f>
        <v>9</v>
      </c>
      <c r="H11" s="53">
        <f>'Core Results'!H15-'PB &amp; WM'!H11-'Investment Banking'!H23</f>
        <v>61</v>
      </c>
      <c r="I11" s="53">
        <f>'Core Results'!I15-'PB &amp; WM'!I11-'Investment Banking'!I23</f>
        <v>75</v>
      </c>
      <c r="J11" s="53">
        <f>'Core Results'!J15-'PB &amp; WM'!J11-'Investment Banking'!J23</f>
        <v>8</v>
      </c>
      <c r="K11" s="53">
        <f>'Core Results'!K15-'PB &amp; WM'!K11-'Investment Banking'!K23</f>
        <v>0</v>
      </c>
      <c r="L11" s="53">
        <f>'Core Results'!L15-'PB &amp; WM'!L11-'Investment Banking'!L23</f>
        <v>20</v>
      </c>
      <c r="M11" s="53">
        <f>'Core Results'!M15-'PB &amp; WM'!M11-'Investment Banking'!M23</f>
        <v>18</v>
      </c>
      <c r="N11" s="53">
        <f>'Core Results'!N15-'PB &amp; WM'!N11-'Investment Banking'!N23</f>
        <v>46</v>
      </c>
      <c r="O11" s="53">
        <f>'Core Results'!O15-'PB &amp; WM'!O11-'Investment Banking'!O23</f>
        <v>18</v>
      </c>
      <c r="P11" s="53">
        <f>'Core Results'!P15-'PB &amp; WM'!P11-'Investment Banking'!P23</f>
        <v>9</v>
      </c>
      <c r="Q11" s="53">
        <f>'Core Results'!Q15-'PB &amp; WM'!Q11-'Investment Banking'!Q23</f>
        <v>3</v>
      </c>
      <c r="R11" s="53">
        <f>'Core Results'!R15-'PB &amp; WM'!R11-'Investment Banking'!R23</f>
        <v>-6</v>
      </c>
      <c r="S11" s="53">
        <f>'Core Results'!S15-'PB &amp; WM'!S11-'Investment Banking'!S23</f>
        <v>24</v>
      </c>
    </row>
    <row r="12" spans="1:19" s="18" customFormat="1" ht="17.25" customHeight="1">
      <c r="A12" s="7"/>
      <c r="B12" s="28" t="s">
        <v>16</v>
      </c>
      <c r="C12" s="50">
        <f>'Core Results'!C16-'PB &amp; WM'!C12-'Investment Banking'!C24</f>
        <v>471</v>
      </c>
      <c r="D12" s="50">
        <f>'Core Results'!D16-'PB &amp; WM'!D12-'Investment Banking'!D24</f>
        <v>990</v>
      </c>
      <c r="E12" s="50">
        <f>'Core Results'!E16-'PB &amp; WM'!E12-'Investment Banking'!E24</f>
        <v>30</v>
      </c>
      <c r="F12" s="50">
        <f>'Core Results'!F16-'PB &amp; WM'!F12-'Investment Banking'!F24</f>
        <v>237</v>
      </c>
      <c r="G12" s="50">
        <f>'Core Results'!G16-'PB &amp; WM'!G12-'Investment Banking'!G24</f>
        <v>13</v>
      </c>
      <c r="H12" s="50">
        <f>'Core Results'!H16-'PB &amp; WM'!H12-'Investment Banking'!H24</f>
        <v>118</v>
      </c>
      <c r="I12" s="50">
        <f>'Core Results'!I16-'PB &amp; WM'!I12-'Investment Banking'!I24</f>
        <v>398</v>
      </c>
      <c r="J12" s="50">
        <f>'Core Results'!J16-'PB &amp; WM'!J12-'Investment Banking'!J24</f>
        <v>9</v>
      </c>
      <c r="K12" s="50">
        <f>'Core Results'!K16-'PB &amp; WM'!K12-'Investment Banking'!K24</f>
        <v>5</v>
      </c>
      <c r="L12" s="50">
        <f>'Core Results'!L16-'PB &amp; WM'!L12-'Investment Banking'!L24</f>
        <v>64</v>
      </c>
      <c r="M12" s="50">
        <f>'Core Results'!M16-'PB &amp; WM'!M12-'Investment Banking'!M24</f>
        <v>112</v>
      </c>
      <c r="N12" s="50">
        <f>'Core Results'!N16-'PB &amp; WM'!N12-'Investment Banking'!N24</f>
        <v>190</v>
      </c>
      <c r="O12" s="50">
        <f>'Core Results'!O16-'PB &amp; WM'!O12-'Investment Banking'!O24</f>
        <v>85</v>
      </c>
      <c r="P12" s="50">
        <f>'Core Results'!P16-'PB &amp; WM'!P12-'Investment Banking'!P24</f>
        <v>78</v>
      </c>
      <c r="Q12" s="50">
        <f>'Core Results'!Q16-'PB &amp; WM'!Q12-'Investment Banking'!Q24</f>
        <v>56</v>
      </c>
      <c r="R12" s="50">
        <f>'Core Results'!R16-'PB &amp; WM'!R12-'Investment Banking'!R24</f>
        <v>323</v>
      </c>
      <c r="S12" s="50">
        <f>'Core Results'!S16-'PB &amp; WM'!S12-'Investment Banking'!S24</f>
        <v>542</v>
      </c>
    </row>
    <row r="13" spans="1:19" s="18" customFormat="1" ht="17.25" customHeight="1" thickBot="1">
      <c r="A13" s="7"/>
      <c r="B13" s="26" t="s">
        <v>17</v>
      </c>
      <c r="C13" s="40">
        <f>'Core Results'!C17-'PB &amp; WM'!C13-'Investment Banking'!C25</f>
        <v>1329</v>
      </c>
      <c r="D13" s="40">
        <f>'Core Results'!D17-'PB &amp; WM'!D13-'Investment Banking'!D25</f>
        <v>1524</v>
      </c>
      <c r="E13" s="40">
        <f>'Core Results'!E17-'PB &amp; WM'!E13-'Investment Banking'!E25</f>
        <v>132</v>
      </c>
      <c r="F13" s="40">
        <f>'Core Results'!F17-'PB &amp; WM'!F13-'Investment Banking'!F25</f>
        <v>702</v>
      </c>
      <c r="G13" s="40">
        <f>'Core Results'!G17-'PB &amp; WM'!G13-'Investment Banking'!G25</f>
        <v>68</v>
      </c>
      <c r="H13" s="40">
        <f>'Core Results'!H17-'PB &amp; WM'!H13-'Investment Banking'!H25</f>
        <v>206</v>
      </c>
      <c r="I13" s="40">
        <f>'Core Results'!I17-'PB &amp; WM'!I13-'Investment Banking'!I25</f>
        <v>1108</v>
      </c>
      <c r="J13" s="40">
        <f>'Core Results'!J17-'PB &amp; WM'!J13-'Investment Banking'!J25</f>
        <v>142</v>
      </c>
      <c r="K13" s="40">
        <f>'Core Results'!K17-'PB &amp; WM'!K13-'Investment Banking'!K25</f>
        <v>268</v>
      </c>
      <c r="L13" s="40">
        <f>'Core Results'!L17-'PB &amp; WM'!L13-'Investment Banking'!L25</f>
        <v>291</v>
      </c>
      <c r="M13" s="40">
        <f>'Core Results'!M17-'PB &amp; WM'!M13-'Investment Banking'!M25</f>
        <v>440</v>
      </c>
      <c r="N13" s="40">
        <f>'Core Results'!N17-'PB &amp; WM'!N13-'Investment Banking'!N25</f>
        <v>1141</v>
      </c>
      <c r="O13" s="40">
        <f>'Core Results'!O17-'PB &amp; WM'!O13-'Investment Banking'!O25</f>
        <v>252</v>
      </c>
      <c r="P13" s="40">
        <f>'Core Results'!P17-'PB &amp; WM'!P13-'Investment Banking'!P25</f>
        <v>258</v>
      </c>
      <c r="Q13" s="40">
        <f>'Core Results'!Q17-'PB &amp; WM'!Q13-'Investment Banking'!Q25</f>
        <v>332</v>
      </c>
      <c r="R13" s="40">
        <f>'Core Results'!R17-'PB &amp; WM'!R13-'Investment Banking'!R25</f>
        <v>563</v>
      </c>
      <c r="S13" s="40">
        <f>'Core Results'!S17-'PB &amp; WM'!S13-'Investment Banking'!S25</f>
        <v>1405</v>
      </c>
    </row>
    <row r="14" spans="1:19" s="18" customFormat="1" ht="26.25" thickBot="1">
      <c r="A14" s="7"/>
      <c r="B14" s="39" t="s">
        <v>81</v>
      </c>
      <c r="C14" s="40">
        <f>+'Core Results'!C18-'Investment Banking'!C26-'PB &amp; WM'!C14</f>
        <v>4005</v>
      </c>
      <c r="D14" s="40">
        <f>+'Core Results'!D18-'Investment Banking'!D26-'PB &amp; WM'!D14</f>
        <v>-2665</v>
      </c>
      <c r="E14" s="40">
        <f>+'Core Results'!E18-'Investment Banking'!E26-'PB &amp; WM'!E14</f>
        <v>-8</v>
      </c>
      <c r="F14" s="40">
        <f>+'Core Results'!F18-'Investment Banking'!F26-'PB &amp; WM'!F14</f>
        <v>192</v>
      </c>
      <c r="G14" s="40">
        <f>+'Core Results'!G18-'Investment Banking'!G26-'PB &amp; WM'!G14</f>
        <v>-833</v>
      </c>
      <c r="H14" s="40">
        <f>+'Core Results'!H18-'Investment Banking'!H26-'PB &amp; WM'!H14</f>
        <v>-287</v>
      </c>
      <c r="I14" s="40">
        <f>+'Core Results'!I18-'Investment Banking'!I26-'PB &amp; WM'!I14</f>
        <v>-936</v>
      </c>
      <c r="J14" s="40">
        <f>+'Core Results'!J18-'Investment Banking'!J26-'PB &amp; WM'!J14</f>
        <v>-874</v>
      </c>
      <c r="K14" s="40">
        <f>+'Core Results'!K18-'Investment Banking'!K26-'PB &amp; WM'!K14</f>
        <v>-95</v>
      </c>
      <c r="L14" s="40">
        <f>+'Core Results'!L18-'Investment Banking'!L26-'PB &amp; WM'!L14</f>
        <v>1452</v>
      </c>
      <c r="M14" s="40">
        <f>+'Core Results'!M18-'Investment Banking'!M26-'PB &amp; WM'!M14</f>
        <v>-102</v>
      </c>
      <c r="N14" s="40">
        <f>+'Core Results'!N18-'Investment Banking'!N26-'PB &amp; WM'!N14</f>
        <v>381</v>
      </c>
      <c r="O14" s="40">
        <f>+'Core Results'!O18-'Investment Banking'!O26-'PB &amp; WM'!O14</f>
        <v>-1818</v>
      </c>
      <c r="P14" s="40">
        <f>+'Core Results'!P18-'Investment Banking'!P26-'PB &amp; WM'!P14</f>
        <v>-180</v>
      </c>
      <c r="Q14" s="40">
        <f>+'Core Results'!Q18-'Investment Banking'!Q26-'PB &amp; WM'!Q14</f>
        <v>-1060</v>
      </c>
      <c r="R14" s="40">
        <f>+'Core Results'!R18-'Investment Banking'!R26-'PB &amp; WM'!R14</f>
        <v>-840</v>
      </c>
      <c r="S14" s="40">
        <f>+'Core Results'!S18-'Investment Banking'!S26-'PB &amp; WM'!S14</f>
        <v>-3898</v>
      </c>
    </row>
    <row r="15" spans="1:19" ht="27" customHeight="1">
      <c r="A15" s="7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ht="17.25" customHeight="1">
      <c r="A16" s="7"/>
      <c r="B16" s="13" t="s">
        <v>57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ht="17.25" customHeight="1" thickBot="1">
      <c r="A17" s="7"/>
      <c r="B17" s="30" t="s">
        <v>58</v>
      </c>
      <c r="C17" s="65">
        <f>+'Core Results'!C43</f>
        <v>700</v>
      </c>
      <c r="D17" s="65">
        <f>+'Core Results'!D43</f>
        <v>800</v>
      </c>
      <c r="E17" s="65">
        <f>+'Core Results'!E43</f>
        <v>800</v>
      </c>
      <c r="F17" s="65">
        <f>+'Core Results'!F43</f>
        <v>900</v>
      </c>
      <c r="G17" s="65">
        <f>+'Core Results'!G43</f>
        <v>900</v>
      </c>
      <c r="H17" s="65">
        <f>+'Core Results'!H43</f>
        <v>900</v>
      </c>
      <c r="I17" s="65">
        <f>+'Core Results'!I43</f>
        <v>900</v>
      </c>
      <c r="J17" s="65">
        <f>+'Core Results'!J43</f>
        <v>900</v>
      </c>
      <c r="K17" s="65">
        <f>+'Core Results'!K43</f>
        <v>900</v>
      </c>
      <c r="L17" s="65">
        <f>+'Core Results'!L43</f>
        <v>900</v>
      </c>
      <c r="M17" s="65">
        <f>+'Core Results'!M43</f>
        <v>900</v>
      </c>
      <c r="N17" s="65">
        <f>+'Core Results'!N43</f>
        <v>900</v>
      </c>
      <c r="O17" s="65">
        <f>+'Core Results'!O43</f>
        <v>900</v>
      </c>
      <c r="P17" s="65">
        <f>+'Core Results'!P43</f>
        <v>900</v>
      </c>
      <c r="Q17" s="65">
        <f>+'Core Results'!Q43</f>
        <v>900</v>
      </c>
      <c r="R17" s="65">
        <f>+'Core Results'!R43</f>
        <v>300</v>
      </c>
      <c r="S17" s="65">
        <f>+'Core Results'!S43</f>
        <v>300</v>
      </c>
    </row>
    <row r="18" spans="1:19" ht="17.25" customHeight="1" thickTop="1">
      <c r="A18" s="7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7.25" customHeight="1">
      <c r="A19" s="34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7.25" customHeight="1">
      <c r="A20" s="7"/>
      <c r="B20" s="1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7.25" customHeight="1">
      <c r="A21" s="7"/>
      <c r="B21" s="289" t="s">
        <v>207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0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="80" zoomScaleNormal="80" zoomScaleSheetLayoutView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19" width="11.57421875" style="1" customWidth="1"/>
    <col min="20" max="16384" width="1.7109375" style="1" customWidth="1"/>
  </cols>
  <sheetData>
    <row r="1" spans="1:19" ht="21.75" customHeight="1">
      <c r="A1" s="2"/>
      <c r="B1" s="408" t="s">
        <v>131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25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17.25" customHeight="1" thickTop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7.25" customHeight="1">
      <c r="A6" s="7"/>
      <c r="B6" s="13" t="s">
        <v>26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7.25" customHeight="1">
      <c r="A7" s="7"/>
      <c r="B7" s="358" t="s">
        <v>117</v>
      </c>
      <c r="C7" s="365">
        <v>658.5</v>
      </c>
      <c r="D7" s="365">
        <v>759.7</v>
      </c>
      <c r="E7" s="365">
        <v>780.3</v>
      </c>
      <c r="F7" s="365">
        <v>762.4</v>
      </c>
      <c r="G7" s="365">
        <v>768.3</v>
      </c>
      <c r="H7" s="365">
        <v>763.1</v>
      </c>
      <c r="I7" s="366">
        <f>H7</f>
        <v>763.1</v>
      </c>
      <c r="J7" s="365">
        <v>779.2</v>
      </c>
      <c r="K7" s="365">
        <v>743.5</v>
      </c>
      <c r="L7" s="365">
        <v>721.8</v>
      </c>
      <c r="M7" s="365">
        <v>750.2</v>
      </c>
      <c r="N7" s="366">
        <f>M7</f>
        <v>750.2</v>
      </c>
      <c r="O7" s="365">
        <v>772.2</v>
      </c>
      <c r="P7" s="365">
        <v>774.1</v>
      </c>
      <c r="Q7" s="365">
        <v>803.3</v>
      </c>
      <c r="R7" s="365">
        <v>798.5</v>
      </c>
      <c r="S7" s="366">
        <f>R7</f>
        <v>798.5</v>
      </c>
    </row>
    <row r="8" spans="1:19" ht="17.25" customHeight="1">
      <c r="A8" s="7"/>
      <c r="B8" s="362" t="s">
        <v>204</v>
      </c>
      <c r="C8" s="367">
        <v>154.3</v>
      </c>
      <c r="D8" s="367">
        <v>182.6</v>
      </c>
      <c r="E8" s="367">
        <v>194</v>
      </c>
      <c r="F8" s="367">
        <v>190.6</v>
      </c>
      <c r="G8" s="367">
        <v>193.3</v>
      </c>
      <c r="H8" s="367">
        <v>195.9</v>
      </c>
      <c r="I8" s="366">
        <f>H8</f>
        <v>195.9</v>
      </c>
      <c r="J8" s="367">
        <v>201.4</v>
      </c>
      <c r="K8" s="367">
        <v>199.5</v>
      </c>
      <c r="L8" s="367">
        <v>195.2</v>
      </c>
      <c r="M8" s="367">
        <v>203</v>
      </c>
      <c r="N8" s="366">
        <f>M8</f>
        <v>203</v>
      </c>
      <c r="O8" s="367">
        <v>211.3</v>
      </c>
      <c r="P8" s="367">
        <v>213.8</v>
      </c>
      <c r="Q8" s="367">
        <v>220.3</v>
      </c>
      <c r="R8" s="367">
        <v>223.8</v>
      </c>
      <c r="S8" s="366">
        <f>R8</f>
        <v>223.8</v>
      </c>
    </row>
    <row r="9" spans="1:19" ht="17.25" customHeight="1">
      <c r="A9" s="7"/>
      <c r="B9" s="362" t="s">
        <v>23</v>
      </c>
      <c r="C9" s="367">
        <v>373.5</v>
      </c>
      <c r="D9" s="367">
        <v>373.3</v>
      </c>
      <c r="E9" s="367">
        <v>389.8</v>
      </c>
      <c r="F9" s="367">
        <v>378.6</v>
      </c>
      <c r="G9" s="367">
        <v>380.2</v>
      </c>
      <c r="H9" s="367">
        <v>382</v>
      </c>
      <c r="I9" s="366">
        <f>H9</f>
        <v>382</v>
      </c>
      <c r="J9" s="367">
        <v>393.4</v>
      </c>
      <c r="K9" s="367">
        <v>379.2</v>
      </c>
      <c r="L9" s="367">
        <v>365.2</v>
      </c>
      <c r="M9" s="367">
        <v>365.2</v>
      </c>
      <c r="N9" s="366">
        <f>M9</f>
        <v>365.2</v>
      </c>
      <c r="O9" s="367">
        <v>360.8</v>
      </c>
      <c r="P9" s="367">
        <v>360.5</v>
      </c>
      <c r="Q9" s="367">
        <v>368.9</v>
      </c>
      <c r="R9" s="367">
        <v>371.6</v>
      </c>
      <c r="S9" s="366">
        <f>R9</f>
        <v>371.6</v>
      </c>
    </row>
    <row r="10" spans="1:19" ht="16.5" customHeight="1">
      <c r="A10" s="7"/>
      <c r="B10" s="381" t="s">
        <v>205</v>
      </c>
      <c r="C10" s="363">
        <v>-119.7</v>
      </c>
      <c r="D10" s="363">
        <v>-130.8</v>
      </c>
      <c r="E10" s="363">
        <v>-140.2</v>
      </c>
      <c r="F10" s="363">
        <v>-136</v>
      </c>
      <c r="G10" s="363">
        <v>-137.9</v>
      </c>
      <c r="H10" s="363">
        <v>-135.7</v>
      </c>
      <c r="I10" s="364">
        <f>+H10</f>
        <v>-135.7</v>
      </c>
      <c r="J10" s="363">
        <v>-141.1</v>
      </c>
      <c r="K10" s="363">
        <v>-135.9</v>
      </c>
      <c r="L10" s="363">
        <v>-130.8</v>
      </c>
      <c r="M10" s="363">
        <v>-133.2</v>
      </c>
      <c r="N10" s="364">
        <f>+M10</f>
        <v>-133.2</v>
      </c>
      <c r="O10" s="363">
        <v>-139.5</v>
      </c>
      <c r="P10" s="363">
        <v>-135.3</v>
      </c>
      <c r="Q10" s="363">
        <v>-141.8</v>
      </c>
      <c r="R10" s="363">
        <v>-143.1</v>
      </c>
      <c r="S10" s="364">
        <f>+R10</f>
        <v>-143.1</v>
      </c>
    </row>
    <row r="11" spans="1:19" ht="16.5" customHeight="1" thickBot="1">
      <c r="A11" s="7"/>
      <c r="B11" s="116" t="s">
        <v>25</v>
      </c>
      <c r="C11" s="86">
        <f aca="true" t="shared" si="0" ref="C11:S11">IF((SUM(C7:C10))=C12+C13,(SUM(C7:C10)),"Error")</f>
        <v>1066.6</v>
      </c>
      <c r="D11" s="86">
        <f t="shared" si="0"/>
        <v>1184.8</v>
      </c>
      <c r="E11" s="86">
        <f t="shared" si="0"/>
        <v>1223.9</v>
      </c>
      <c r="F11" s="86">
        <f t="shared" si="0"/>
        <v>1195.6</v>
      </c>
      <c r="G11" s="86">
        <f t="shared" si="0"/>
        <v>1203.9</v>
      </c>
      <c r="H11" s="86">
        <f t="shared" si="0"/>
        <v>1205.3</v>
      </c>
      <c r="I11" s="86">
        <f t="shared" si="0"/>
        <v>1205.3</v>
      </c>
      <c r="J11" s="86">
        <f t="shared" si="0"/>
        <v>1232.9</v>
      </c>
      <c r="K11" s="86">
        <f t="shared" si="0"/>
        <v>1186.3</v>
      </c>
      <c r="L11" s="86">
        <f t="shared" si="0"/>
        <v>1151.4</v>
      </c>
      <c r="M11" s="86">
        <f t="shared" si="0"/>
        <v>1185.2</v>
      </c>
      <c r="N11" s="86">
        <f t="shared" si="0"/>
        <v>1185.2</v>
      </c>
      <c r="O11" s="86">
        <f t="shared" si="0"/>
        <v>1204.8</v>
      </c>
      <c r="P11" s="86">
        <f t="shared" si="0"/>
        <v>1213.1</v>
      </c>
      <c r="Q11" s="86">
        <f t="shared" si="0"/>
        <v>1250.7</v>
      </c>
      <c r="R11" s="86">
        <f t="shared" si="0"/>
        <v>1250.8</v>
      </c>
      <c r="S11" s="86">
        <f t="shared" si="0"/>
        <v>1250.8</v>
      </c>
    </row>
    <row r="12" spans="1:19" ht="17.25" customHeight="1">
      <c r="A12" s="7"/>
      <c r="B12" s="190" t="s">
        <v>111</v>
      </c>
      <c r="C12" s="281">
        <v>398.7</v>
      </c>
      <c r="D12" s="281">
        <v>400.8</v>
      </c>
      <c r="E12" s="192">
        <v>417.5</v>
      </c>
      <c r="F12" s="192">
        <v>406.2</v>
      </c>
      <c r="G12" s="192">
        <v>408.7</v>
      </c>
      <c r="H12" s="192">
        <v>408</v>
      </c>
      <c r="I12" s="188">
        <f>+H12</f>
        <v>408</v>
      </c>
      <c r="J12" s="192">
        <v>419.9</v>
      </c>
      <c r="K12" s="192">
        <v>405.4</v>
      </c>
      <c r="L12" s="192">
        <v>390.6</v>
      </c>
      <c r="M12" s="192">
        <v>390.2</v>
      </c>
      <c r="N12" s="188">
        <f>+M12</f>
        <v>390.2</v>
      </c>
      <c r="O12" s="192">
        <v>388.1</v>
      </c>
      <c r="P12" s="192">
        <v>391.6</v>
      </c>
      <c r="Q12" s="192">
        <v>406.1</v>
      </c>
      <c r="R12" s="192">
        <v>407.6</v>
      </c>
      <c r="S12" s="188">
        <f>+R12</f>
        <v>407.6</v>
      </c>
    </row>
    <row r="13" spans="1:19" ht="17.25" customHeight="1">
      <c r="A13" s="7"/>
      <c r="B13" s="191" t="s">
        <v>128</v>
      </c>
      <c r="C13" s="282">
        <v>667.9</v>
      </c>
      <c r="D13" s="282">
        <v>784</v>
      </c>
      <c r="E13" s="193">
        <v>806.4</v>
      </c>
      <c r="F13" s="193">
        <v>789.4</v>
      </c>
      <c r="G13" s="193">
        <v>795.2</v>
      </c>
      <c r="H13" s="193">
        <v>797.3</v>
      </c>
      <c r="I13" s="189">
        <f>+H13</f>
        <v>797.3</v>
      </c>
      <c r="J13" s="193">
        <v>813</v>
      </c>
      <c r="K13" s="193">
        <v>780.9</v>
      </c>
      <c r="L13" s="193">
        <v>760.8</v>
      </c>
      <c r="M13" s="193">
        <v>795</v>
      </c>
      <c r="N13" s="189">
        <f>+M13</f>
        <v>795</v>
      </c>
      <c r="O13" s="193">
        <v>816.7</v>
      </c>
      <c r="P13" s="193">
        <v>821.5</v>
      </c>
      <c r="Q13" s="193">
        <v>844.6</v>
      </c>
      <c r="R13" s="193">
        <v>843.2</v>
      </c>
      <c r="S13" s="189">
        <f>+R13</f>
        <v>843.2</v>
      </c>
    </row>
    <row r="14" spans="1:19" ht="17.25" customHeight="1" outlineLevel="1">
      <c r="A14" s="7"/>
      <c r="B14" s="119" t="s">
        <v>94</v>
      </c>
      <c r="C14" s="306">
        <v>0</v>
      </c>
      <c r="D14" s="306">
        <v>0</v>
      </c>
      <c r="E14" s="70">
        <v>0</v>
      </c>
      <c r="F14" s="70">
        <v>0</v>
      </c>
      <c r="G14" s="70">
        <v>0</v>
      </c>
      <c r="H14" s="70">
        <v>0</v>
      </c>
      <c r="I14" s="70">
        <f>+H14</f>
        <v>0</v>
      </c>
      <c r="J14" s="70">
        <v>0</v>
      </c>
      <c r="K14" s="70">
        <v>0</v>
      </c>
      <c r="L14" s="70">
        <v>0</v>
      </c>
      <c r="M14" s="70">
        <v>0</v>
      </c>
      <c r="N14" s="70">
        <f>+M14</f>
        <v>0</v>
      </c>
      <c r="O14" s="70">
        <v>0</v>
      </c>
      <c r="P14" s="70">
        <v>0</v>
      </c>
      <c r="Q14" s="70">
        <v>0</v>
      </c>
      <c r="R14" s="70">
        <v>0</v>
      </c>
      <c r="S14" s="70">
        <f>+R14</f>
        <v>0</v>
      </c>
    </row>
    <row r="15" spans="1:19" ht="17.25" customHeight="1" outlineLevel="1" thickBot="1">
      <c r="A15" s="7"/>
      <c r="B15" s="21" t="s">
        <v>5</v>
      </c>
      <c r="C15" s="372">
        <f>+C11+C14</f>
        <v>1066.6</v>
      </c>
      <c r="D15" s="86">
        <f>+D11+D14</f>
        <v>1184.8</v>
      </c>
      <c r="E15" s="86">
        <f>+E11+E14</f>
        <v>1223.9</v>
      </c>
      <c r="F15" s="86">
        <f>+F11+F14</f>
        <v>1195.6</v>
      </c>
      <c r="G15" s="86">
        <f>+G11+G14</f>
        <v>1203.9</v>
      </c>
      <c r="H15" s="86">
        <f aca="true" t="shared" si="1" ref="H15:N15">+H11+H14</f>
        <v>1205.3</v>
      </c>
      <c r="I15" s="86">
        <f t="shared" si="1"/>
        <v>1205.3</v>
      </c>
      <c r="J15" s="86">
        <f t="shared" si="1"/>
        <v>1232.9</v>
      </c>
      <c r="K15" s="86">
        <f t="shared" si="1"/>
        <v>1186.3</v>
      </c>
      <c r="L15" s="86">
        <f t="shared" si="1"/>
        <v>1151.4</v>
      </c>
      <c r="M15" s="86">
        <f>+M11+M14</f>
        <v>1185.2</v>
      </c>
      <c r="N15" s="86">
        <f t="shared" si="1"/>
        <v>1185.2</v>
      </c>
      <c r="O15" s="86">
        <f>+O11+O14</f>
        <v>1204.8</v>
      </c>
      <c r="P15" s="86">
        <f>+P11+P14</f>
        <v>1213.1</v>
      </c>
      <c r="Q15" s="86">
        <f>+Q11+Q14</f>
        <v>1250.7</v>
      </c>
      <c r="R15" s="86">
        <f>+R11+R14</f>
        <v>1250.8</v>
      </c>
      <c r="S15" s="86">
        <f>+S11+S14</f>
        <v>1250.8</v>
      </c>
    </row>
    <row r="16" spans="1:19" ht="17.25" customHeight="1">
      <c r="A16" s="7"/>
      <c r="B16" s="11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1:19" ht="17.25" customHeight="1">
      <c r="A17" s="7"/>
      <c r="B17" s="13" t="s">
        <v>0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1:19" ht="17.25" customHeight="1">
      <c r="A18" s="7"/>
      <c r="B18" s="358" t="s">
        <v>117</v>
      </c>
      <c r="C18" s="370">
        <v>40.1</v>
      </c>
      <c r="D18" s="370">
        <v>32.6</v>
      </c>
      <c r="E18" s="365">
        <v>11.2</v>
      </c>
      <c r="F18" s="365">
        <v>11.8</v>
      </c>
      <c r="G18" s="365">
        <v>11.7</v>
      </c>
      <c r="H18" s="365">
        <v>5.9</v>
      </c>
      <c r="I18" s="366">
        <f>SUM(E18:H18)</f>
        <v>40.6</v>
      </c>
      <c r="J18" s="365">
        <v>14.2</v>
      </c>
      <c r="K18" s="365">
        <v>11.6</v>
      </c>
      <c r="L18" s="365">
        <v>6.7</v>
      </c>
      <c r="M18" s="365">
        <v>4.9</v>
      </c>
      <c r="N18" s="366">
        <f>SUM(J18:M18)</f>
        <v>37.4</v>
      </c>
      <c r="O18" s="365">
        <v>5.5</v>
      </c>
      <c r="P18" s="365">
        <v>5.5</v>
      </c>
      <c r="Q18" s="365">
        <v>5.1</v>
      </c>
      <c r="R18" s="365">
        <v>2.9</v>
      </c>
      <c r="S18" s="366">
        <v>19</v>
      </c>
    </row>
    <row r="19" spans="1:19" ht="17.25" customHeight="1">
      <c r="A19" s="7"/>
      <c r="B19" s="362" t="s">
        <v>204</v>
      </c>
      <c r="C19" s="371">
        <v>-18.9</v>
      </c>
      <c r="D19" s="371">
        <v>7.2</v>
      </c>
      <c r="E19" s="367">
        <v>6.4</v>
      </c>
      <c r="F19" s="367">
        <v>0.7</v>
      </c>
      <c r="G19" s="367">
        <v>-0.1</v>
      </c>
      <c r="H19" s="367">
        <v>1</v>
      </c>
      <c r="I19" s="366">
        <f>SUM(E19:H19)</f>
        <v>8</v>
      </c>
      <c r="J19" s="367">
        <v>1.8</v>
      </c>
      <c r="K19" s="367">
        <v>0.3</v>
      </c>
      <c r="L19" s="367">
        <v>0.6</v>
      </c>
      <c r="M19" s="367">
        <v>2.6</v>
      </c>
      <c r="N19" s="366">
        <f>SUM(J19:M19)</f>
        <v>5.3</v>
      </c>
      <c r="O19" s="367">
        <v>2.4</v>
      </c>
      <c r="P19" s="367">
        <v>-2.1</v>
      </c>
      <c r="Q19" s="367">
        <v>0.1</v>
      </c>
      <c r="R19" s="367">
        <v>1.1</v>
      </c>
      <c r="S19" s="366">
        <v>1.5</v>
      </c>
    </row>
    <row r="20" spans="1:19" ht="17.25" customHeight="1">
      <c r="A20" s="7"/>
      <c r="B20" s="362" t="s">
        <v>23</v>
      </c>
      <c r="C20" s="371">
        <v>-36.9</v>
      </c>
      <c r="D20" s="371">
        <v>-1.6</v>
      </c>
      <c r="E20" s="367">
        <v>10.2</v>
      </c>
      <c r="F20" s="367">
        <v>0.7</v>
      </c>
      <c r="G20" s="367">
        <v>5.6</v>
      </c>
      <c r="H20" s="367">
        <v>3.7</v>
      </c>
      <c r="I20" s="366">
        <f>SUM(E20:H20)</f>
        <v>20.2</v>
      </c>
      <c r="J20" s="387">
        <v>6.5</v>
      </c>
      <c r="K20" s="367">
        <v>3.9</v>
      </c>
      <c r="L20" s="367">
        <v>1.5</v>
      </c>
      <c r="M20" s="367">
        <v>-6.7</v>
      </c>
      <c r="N20" s="366">
        <f>SUM(J20:M20)</f>
        <v>5.2</v>
      </c>
      <c r="O20" s="367">
        <v>-11.4</v>
      </c>
      <c r="P20" s="367">
        <v>0.4</v>
      </c>
      <c r="Q20" s="367">
        <v>-0.5</v>
      </c>
      <c r="R20" s="367">
        <v>2.5</v>
      </c>
      <c r="S20" s="366">
        <v>-9</v>
      </c>
    </row>
    <row r="21" spans="1:19" ht="17.25" customHeight="1">
      <c r="A21" s="7"/>
      <c r="B21" s="381" t="s">
        <v>205</v>
      </c>
      <c r="C21" s="282">
        <v>5</v>
      </c>
      <c r="D21" s="282">
        <v>3.5</v>
      </c>
      <c r="E21" s="378">
        <v>-4.9</v>
      </c>
      <c r="F21" s="379">
        <v>-0.3</v>
      </c>
      <c r="G21" s="378">
        <v>-1.4</v>
      </c>
      <c r="H21" s="378">
        <v>0.2</v>
      </c>
      <c r="I21" s="189">
        <f>SUM(E21:H21)</f>
        <v>-6.4</v>
      </c>
      <c r="J21" s="378">
        <v>-2.6</v>
      </c>
      <c r="K21" s="378">
        <v>-1.6</v>
      </c>
      <c r="L21" s="378">
        <v>-0.8</v>
      </c>
      <c r="M21" s="378">
        <v>3.7</v>
      </c>
      <c r="N21" s="189">
        <f>SUM(J21:M21)</f>
        <v>-1.3</v>
      </c>
      <c r="O21" s="378">
        <v>-2.2</v>
      </c>
      <c r="P21" s="378">
        <v>0.6</v>
      </c>
      <c r="Q21" s="378">
        <v>0.6</v>
      </c>
      <c r="R21" s="378">
        <v>0.3</v>
      </c>
      <c r="S21" s="366">
        <v>-0.7</v>
      </c>
    </row>
    <row r="22" spans="1:19" ht="17.25" customHeight="1" thickBot="1">
      <c r="A22" s="7"/>
      <c r="B22" s="368" t="s">
        <v>185</v>
      </c>
      <c r="C22" s="369">
        <f aca="true" t="shared" si="2" ref="C22:H22">SUM(C18:C21)</f>
        <v>-10.7</v>
      </c>
      <c r="D22" s="369">
        <f t="shared" si="2"/>
        <v>41.7</v>
      </c>
      <c r="E22" s="369">
        <f t="shared" si="2"/>
        <v>22.9</v>
      </c>
      <c r="F22" s="369">
        <f t="shared" si="2"/>
        <v>12.9</v>
      </c>
      <c r="G22" s="369">
        <f t="shared" si="2"/>
        <v>15.8</v>
      </c>
      <c r="H22" s="369">
        <f t="shared" si="2"/>
        <v>10.8</v>
      </c>
      <c r="I22" s="369">
        <f>SUM(E22:H22)</f>
        <v>62.4</v>
      </c>
      <c r="J22" s="369">
        <f>SUM(J18:J21)</f>
        <v>19.9</v>
      </c>
      <c r="K22" s="369">
        <f>SUM(K18:K21)</f>
        <v>14.2</v>
      </c>
      <c r="L22" s="369">
        <f>SUM(L18:L21)</f>
        <v>8</v>
      </c>
      <c r="M22" s="369">
        <f>SUM(M18:M21)</f>
        <v>4.5</v>
      </c>
      <c r="N22" s="369">
        <f>SUM(J22:M22)</f>
        <v>46.6</v>
      </c>
      <c r="O22" s="369">
        <f>SUM(O18:O21)</f>
        <v>-5.7</v>
      </c>
      <c r="P22" s="369">
        <f>SUM(P18:P21)</f>
        <v>4.4</v>
      </c>
      <c r="Q22" s="369">
        <f>SUM(Q18:Q21)</f>
        <v>5.3</v>
      </c>
      <c r="R22" s="369">
        <f>SUM(R18:R21)</f>
        <v>6.8</v>
      </c>
      <c r="S22" s="369">
        <f>SUM(S18:S21)</f>
        <v>10.8</v>
      </c>
    </row>
    <row r="23" spans="1:19" ht="18.75" customHeight="1">
      <c r="A23" s="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17.25" customHeight="1">
      <c r="A24" s="34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9.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9.5" customHeight="1">
      <c r="A26" s="7"/>
      <c r="B26" s="289" t="s">
        <v>207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7.25" customHeight="1">
      <c r="A27" s="194" t="s">
        <v>93</v>
      </c>
      <c r="B27" s="360" t="str">
        <f>'PB &amp; WM_2'!B23</f>
        <v>Assets managed by Asset Management for Wealth Management Clients and Corporate &amp; Institutional Clients.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</row>
    <row r="30" ht="12" customHeight="1"/>
    <row r="39" ht="11.25" customHeight="1"/>
    <row r="54" ht="11.25" customHeight="1"/>
    <row r="62" ht="13.5" customHeight="1"/>
    <row r="78" ht="11.25" customHeight="1"/>
  </sheetData>
  <sheetProtection/>
  <mergeCells count="1">
    <mergeCell ref="B1:B2"/>
  </mergeCells>
  <conditionalFormatting sqref="C11:N11">
    <cfRule type="cellIs" priority="6" dxfId="0" operator="equal" stopIfTrue="1">
      <formula>"Error"</formula>
    </cfRule>
  </conditionalFormatting>
  <conditionalFormatting sqref="O11">
    <cfRule type="cellIs" priority="5" dxfId="0" operator="equal" stopIfTrue="1">
      <formula>"Error"</formula>
    </cfRule>
  </conditionalFormatting>
  <conditionalFormatting sqref="P11">
    <cfRule type="cellIs" priority="4" dxfId="0" operator="equal" stopIfTrue="1">
      <formula>"Error"</formula>
    </cfRule>
  </conditionalFormatting>
  <conditionalFormatting sqref="Q11">
    <cfRule type="cellIs" priority="3" dxfId="0" operator="equal" stopIfTrue="1">
      <formula>"Error"</formula>
    </cfRule>
  </conditionalFormatting>
  <conditionalFormatting sqref="R11">
    <cfRule type="cellIs" priority="2" dxfId="0" operator="equal" stopIfTrue="1">
      <formula>"Error"</formula>
    </cfRule>
  </conditionalFormatting>
  <conditionalFormatting sqref="S1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8.28125" style="1" customWidth="1"/>
    <col min="3" max="19" width="11.57421875" style="1" customWidth="1"/>
    <col min="20" max="16384" width="1.7109375" style="1" customWidth="1"/>
  </cols>
  <sheetData>
    <row r="1" spans="1:19" ht="21.75" customHeight="1">
      <c r="A1" s="2"/>
      <c r="B1" s="408" t="s">
        <v>132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7.25" customHeight="1" thickBot="1">
      <c r="A7" s="7"/>
      <c r="B7" s="21" t="s">
        <v>11</v>
      </c>
      <c r="C7" s="22">
        <v>-2594</v>
      </c>
      <c r="D7" s="22">
        <v>-323</v>
      </c>
      <c r="E7" s="98">
        <v>52</v>
      </c>
      <c r="F7" s="98">
        <v>119</v>
      </c>
      <c r="G7" s="98">
        <v>282</v>
      </c>
      <c r="H7" s="98">
        <v>308</v>
      </c>
      <c r="I7" s="40">
        <f aca="true" t="shared" si="0" ref="I7:I15">SUM(E7:H7)</f>
        <v>761</v>
      </c>
      <c r="J7" s="98">
        <v>343</v>
      </c>
      <c r="K7" s="98">
        <v>566</v>
      </c>
      <c r="L7" s="98">
        <v>-128</v>
      </c>
      <c r="M7" s="98">
        <v>15</v>
      </c>
      <c r="N7" s="40">
        <f aca="true" t="shared" si="1" ref="N7:N15">SUM(J7:M7)</f>
        <v>796</v>
      </c>
      <c r="O7" s="22">
        <v>169</v>
      </c>
      <c r="P7" s="22">
        <v>34</v>
      </c>
      <c r="Q7" s="22">
        <v>78</v>
      </c>
      <c r="R7" s="22">
        <v>79</v>
      </c>
      <c r="S7" s="40">
        <f aca="true" t="shared" si="2" ref="S7:S15">SUM(O7:R7)</f>
        <v>360</v>
      </c>
    </row>
    <row r="8" spans="1:19" s="18" customFormat="1" ht="17.25" customHeight="1" thickBot="1">
      <c r="A8" s="7"/>
      <c r="B8" s="23" t="s">
        <v>12</v>
      </c>
      <c r="C8" s="256">
        <v>0</v>
      </c>
      <c r="D8" s="256">
        <v>0</v>
      </c>
      <c r="E8" s="99">
        <v>0</v>
      </c>
      <c r="F8" s="99">
        <v>0</v>
      </c>
      <c r="G8" s="99">
        <v>0</v>
      </c>
      <c r="H8" s="99">
        <v>0</v>
      </c>
      <c r="I8" s="41">
        <f t="shared" si="0"/>
        <v>0</v>
      </c>
      <c r="J8" s="99">
        <v>0</v>
      </c>
      <c r="K8" s="99">
        <v>0</v>
      </c>
      <c r="L8" s="99">
        <v>0</v>
      </c>
      <c r="M8" s="99">
        <v>0</v>
      </c>
      <c r="N8" s="41">
        <f t="shared" si="1"/>
        <v>0</v>
      </c>
      <c r="O8" s="256">
        <v>0</v>
      </c>
      <c r="P8" s="256">
        <v>0</v>
      </c>
      <c r="Q8" s="256">
        <v>0</v>
      </c>
      <c r="R8" s="256">
        <v>0</v>
      </c>
      <c r="S8" s="41">
        <f t="shared" si="2"/>
        <v>0</v>
      </c>
    </row>
    <row r="9" spans="1:19" s="18" customFormat="1" ht="17.25" customHeight="1">
      <c r="A9" s="7"/>
      <c r="B9" s="19" t="s">
        <v>13</v>
      </c>
      <c r="C9" s="257">
        <v>75</v>
      </c>
      <c r="D9" s="257">
        <v>86</v>
      </c>
      <c r="E9" s="100">
        <v>2</v>
      </c>
      <c r="F9" s="100">
        <v>-2</v>
      </c>
      <c r="G9" s="100">
        <v>28</v>
      </c>
      <c r="H9" s="100">
        <v>9</v>
      </c>
      <c r="I9" s="42">
        <f t="shared" si="0"/>
        <v>37</v>
      </c>
      <c r="J9" s="100">
        <v>4</v>
      </c>
      <c r="K9" s="100">
        <v>3</v>
      </c>
      <c r="L9" s="100">
        <v>57</v>
      </c>
      <c r="M9" s="100">
        <v>-2</v>
      </c>
      <c r="N9" s="42">
        <f t="shared" si="1"/>
        <v>62</v>
      </c>
      <c r="O9" s="257">
        <v>4</v>
      </c>
      <c r="P9" s="257">
        <v>5</v>
      </c>
      <c r="Q9" s="257">
        <v>12</v>
      </c>
      <c r="R9" s="257">
        <v>15</v>
      </c>
      <c r="S9" s="42">
        <f t="shared" si="2"/>
        <v>36</v>
      </c>
    </row>
    <row r="10" spans="1:19" s="18" customFormat="1" ht="17.25" customHeight="1">
      <c r="A10" s="7"/>
      <c r="B10" s="24" t="s">
        <v>14</v>
      </c>
      <c r="C10" s="264">
        <v>70</v>
      </c>
      <c r="D10" s="264">
        <v>97</v>
      </c>
      <c r="E10" s="101">
        <v>9</v>
      </c>
      <c r="F10" s="101">
        <v>18</v>
      </c>
      <c r="G10" s="101">
        <v>6</v>
      </c>
      <c r="H10" s="101">
        <v>4</v>
      </c>
      <c r="I10" s="43">
        <f t="shared" si="0"/>
        <v>37</v>
      </c>
      <c r="J10" s="101">
        <v>-2</v>
      </c>
      <c r="K10" s="101">
        <v>9</v>
      </c>
      <c r="L10" s="101">
        <v>7</v>
      </c>
      <c r="M10" s="101">
        <v>8</v>
      </c>
      <c r="N10" s="43">
        <f t="shared" si="1"/>
        <v>22</v>
      </c>
      <c r="O10" s="264">
        <v>7</v>
      </c>
      <c r="P10" s="264">
        <v>9</v>
      </c>
      <c r="Q10" s="264">
        <v>5</v>
      </c>
      <c r="R10" s="264">
        <v>1</v>
      </c>
      <c r="S10" s="43">
        <f t="shared" si="2"/>
        <v>22</v>
      </c>
    </row>
    <row r="11" spans="1:19" s="18" customFormat="1" ht="17.25" customHeight="1">
      <c r="A11" s="7"/>
      <c r="B11" s="25" t="s">
        <v>15</v>
      </c>
      <c r="C11" s="261">
        <v>0</v>
      </c>
      <c r="D11" s="261">
        <v>0</v>
      </c>
      <c r="E11" s="102">
        <v>0</v>
      </c>
      <c r="F11" s="102">
        <v>0</v>
      </c>
      <c r="G11" s="102">
        <v>0</v>
      </c>
      <c r="H11" s="102">
        <v>0</v>
      </c>
      <c r="I11" s="44">
        <f t="shared" si="0"/>
        <v>0</v>
      </c>
      <c r="J11" s="102">
        <v>0</v>
      </c>
      <c r="K11" s="102">
        <v>0</v>
      </c>
      <c r="L11" s="102">
        <v>0</v>
      </c>
      <c r="M11" s="102">
        <v>0</v>
      </c>
      <c r="N11" s="44">
        <f t="shared" si="1"/>
        <v>0</v>
      </c>
      <c r="O11" s="261">
        <v>0</v>
      </c>
      <c r="P11" s="261">
        <v>0</v>
      </c>
      <c r="Q11" s="261">
        <v>0</v>
      </c>
      <c r="R11" s="261">
        <v>0</v>
      </c>
      <c r="S11" s="44">
        <f t="shared" si="2"/>
        <v>0</v>
      </c>
    </row>
    <row r="12" spans="1:19" ht="17.25" customHeight="1">
      <c r="A12" s="7"/>
      <c r="B12" s="19" t="s">
        <v>16</v>
      </c>
      <c r="C12" s="46">
        <f aca="true" t="shared" si="3" ref="C12:H12">SUM(C10:C11)</f>
        <v>70</v>
      </c>
      <c r="D12" s="46">
        <f t="shared" si="3"/>
        <v>97</v>
      </c>
      <c r="E12" s="46">
        <f t="shared" si="3"/>
        <v>9</v>
      </c>
      <c r="F12" s="46">
        <f t="shared" si="3"/>
        <v>18</v>
      </c>
      <c r="G12" s="46">
        <f t="shared" si="3"/>
        <v>6</v>
      </c>
      <c r="H12" s="46">
        <f t="shared" si="3"/>
        <v>4</v>
      </c>
      <c r="I12" s="46">
        <f t="shared" si="0"/>
        <v>37</v>
      </c>
      <c r="J12" s="46">
        <f>SUM(J10:J11)</f>
        <v>-2</v>
      </c>
      <c r="K12" s="46">
        <f>SUM(K10:K11)</f>
        <v>9</v>
      </c>
      <c r="L12" s="46">
        <f>SUM(L10:L11)</f>
        <v>7</v>
      </c>
      <c r="M12" s="46">
        <f>SUM(M10:M11)</f>
        <v>8</v>
      </c>
      <c r="N12" s="46">
        <f t="shared" si="1"/>
        <v>22</v>
      </c>
      <c r="O12" s="46">
        <f>SUM(O10:O11)</f>
        <v>7</v>
      </c>
      <c r="P12" s="46">
        <f>SUM(P10:P11)</f>
        <v>9</v>
      </c>
      <c r="Q12" s="46">
        <f>SUM(Q10:Q11)</f>
        <v>5</v>
      </c>
      <c r="R12" s="46">
        <f>SUM(R10:R11)</f>
        <v>1</v>
      </c>
      <c r="S12" s="46">
        <f t="shared" si="2"/>
        <v>22</v>
      </c>
    </row>
    <row r="13" spans="1:19" ht="17.25" customHeight="1" thickBot="1">
      <c r="A13" s="7"/>
      <c r="B13" s="26" t="s">
        <v>17</v>
      </c>
      <c r="C13" s="40">
        <f aca="true" t="shared" si="4" ref="C13:H13">+C9+C12</f>
        <v>145</v>
      </c>
      <c r="D13" s="40">
        <f t="shared" si="4"/>
        <v>183</v>
      </c>
      <c r="E13" s="40">
        <f t="shared" si="4"/>
        <v>11</v>
      </c>
      <c r="F13" s="40">
        <f t="shared" si="4"/>
        <v>16</v>
      </c>
      <c r="G13" s="40">
        <f t="shared" si="4"/>
        <v>34</v>
      </c>
      <c r="H13" s="40">
        <f t="shared" si="4"/>
        <v>13</v>
      </c>
      <c r="I13" s="40">
        <f t="shared" si="0"/>
        <v>74</v>
      </c>
      <c r="J13" s="40">
        <f>+J9+J12</f>
        <v>2</v>
      </c>
      <c r="K13" s="40">
        <f>+K9+K12</f>
        <v>12</v>
      </c>
      <c r="L13" s="40">
        <f>+L9+L12</f>
        <v>64</v>
      </c>
      <c r="M13" s="40">
        <f>+M9+M12</f>
        <v>6</v>
      </c>
      <c r="N13" s="40">
        <f t="shared" si="1"/>
        <v>84</v>
      </c>
      <c r="O13" s="40">
        <f>+O9+O12</f>
        <v>11</v>
      </c>
      <c r="P13" s="40">
        <f>+P9+P12</f>
        <v>14</v>
      </c>
      <c r="Q13" s="40">
        <f>+Q9+Q12</f>
        <v>17</v>
      </c>
      <c r="R13" s="40">
        <f>+R9+R12</f>
        <v>16</v>
      </c>
      <c r="S13" s="40">
        <f t="shared" si="2"/>
        <v>58</v>
      </c>
    </row>
    <row r="14" spans="1:19" ht="29.25" customHeight="1" thickBot="1">
      <c r="A14" s="7"/>
      <c r="B14" s="115" t="s">
        <v>81</v>
      </c>
      <c r="C14" s="41">
        <f aca="true" t="shared" si="5" ref="C14:H14">+C7-C8-C13</f>
        <v>-2739</v>
      </c>
      <c r="D14" s="41">
        <f t="shared" si="5"/>
        <v>-506</v>
      </c>
      <c r="E14" s="41">
        <f t="shared" si="5"/>
        <v>41</v>
      </c>
      <c r="F14" s="41">
        <f t="shared" si="5"/>
        <v>103</v>
      </c>
      <c r="G14" s="41">
        <f t="shared" si="5"/>
        <v>248</v>
      </c>
      <c r="H14" s="41">
        <f t="shared" si="5"/>
        <v>295</v>
      </c>
      <c r="I14" s="41">
        <f t="shared" si="0"/>
        <v>687</v>
      </c>
      <c r="J14" s="41">
        <f>+J7-J8-J13</f>
        <v>341</v>
      </c>
      <c r="K14" s="41">
        <f>+K7-K8-K13</f>
        <v>554</v>
      </c>
      <c r="L14" s="41">
        <f>+L7-L8-L13</f>
        <v>-192</v>
      </c>
      <c r="M14" s="41">
        <f>+M7-M8-M13</f>
        <v>9</v>
      </c>
      <c r="N14" s="41">
        <f t="shared" si="1"/>
        <v>712</v>
      </c>
      <c r="O14" s="41">
        <f>+O7-O8-O13</f>
        <v>158</v>
      </c>
      <c r="P14" s="41">
        <f>+P7-P8-P13</f>
        <v>20</v>
      </c>
      <c r="Q14" s="41">
        <f>+Q7-Q8-Q13</f>
        <v>61</v>
      </c>
      <c r="R14" s="41">
        <f>+R7-R8-R13</f>
        <v>63</v>
      </c>
      <c r="S14" s="41">
        <f t="shared" si="2"/>
        <v>302</v>
      </c>
    </row>
    <row r="15" spans="1:19" s="18" customFormat="1" ht="17.25" customHeight="1">
      <c r="A15" s="7"/>
      <c r="B15" s="19" t="s">
        <v>18</v>
      </c>
      <c r="C15" s="257">
        <v>0</v>
      </c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42">
        <f t="shared" si="0"/>
        <v>0</v>
      </c>
      <c r="J15" s="100">
        <v>0</v>
      </c>
      <c r="K15" s="100">
        <v>0</v>
      </c>
      <c r="L15" s="100">
        <v>0</v>
      </c>
      <c r="M15" s="100">
        <v>0</v>
      </c>
      <c r="N15" s="42">
        <f t="shared" si="1"/>
        <v>0</v>
      </c>
      <c r="O15" s="257">
        <v>0</v>
      </c>
      <c r="P15" s="257">
        <v>0</v>
      </c>
      <c r="Q15" s="257">
        <v>0</v>
      </c>
      <c r="R15" s="257">
        <v>0</v>
      </c>
      <c r="S15" s="42">
        <f t="shared" si="2"/>
        <v>0</v>
      </c>
    </row>
    <row r="16" spans="1:19" ht="26.25" hidden="1" outlineLevel="1" thickBot="1">
      <c r="A16" s="7"/>
      <c r="B16" s="116" t="s">
        <v>82</v>
      </c>
      <c r="C16" s="40">
        <f>+C14-C15</f>
        <v>-2739</v>
      </c>
      <c r="D16" s="40">
        <f>+D14-D15</f>
        <v>-506</v>
      </c>
      <c r="E16" s="40">
        <f>+E14-E15</f>
        <v>41</v>
      </c>
      <c r="F16" s="40">
        <f>+F14-F15</f>
        <v>103</v>
      </c>
      <c r="G16" s="40">
        <f>+G14-G15</f>
        <v>248</v>
      </c>
      <c r="H16" s="40">
        <f aca="true" t="shared" si="6" ref="H16:N16">+H14-H15</f>
        <v>295</v>
      </c>
      <c r="I16" s="40">
        <f t="shared" si="6"/>
        <v>687</v>
      </c>
      <c r="J16" s="40">
        <f t="shared" si="6"/>
        <v>341</v>
      </c>
      <c r="K16" s="40">
        <f t="shared" si="6"/>
        <v>554</v>
      </c>
      <c r="L16" s="40">
        <f t="shared" si="6"/>
        <v>-192</v>
      </c>
      <c r="M16" s="40">
        <f t="shared" si="6"/>
        <v>9</v>
      </c>
      <c r="N16" s="40">
        <f t="shared" si="6"/>
        <v>712</v>
      </c>
      <c r="O16" s="40">
        <f>+O14-O15</f>
        <v>158</v>
      </c>
      <c r="P16" s="40">
        <f>+P14-P15</f>
        <v>20</v>
      </c>
      <c r="Q16" s="40">
        <f>+Q14-Q15</f>
        <v>61</v>
      </c>
      <c r="R16" s="40">
        <f>+R14-R15</f>
        <v>63</v>
      </c>
      <c r="S16" s="40">
        <f>+S14-S15</f>
        <v>302</v>
      </c>
    </row>
    <row r="17" spans="1:19" s="18" customFormat="1" ht="17.25" customHeight="1" hidden="1" outlineLevel="1">
      <c r="A17" s="7"/>
      <c r="B17" s="19" t="s">
        <v>19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46">
        <f>SUM(E17:H17)</f>
        <v>0</v>
      </c>
      <c r="J17" s="97">
        <v>0</v>
      </c>
      <c r="K17" s="97">
        <v>0</v>
      </c>
      <c r="L17" s="97">
        <v>0</v>
      </c>
      <c r="M17" s="97">
        <v>0</v>
      </c>
      <c r="N17" s="46">
        <f>SUM(J17:M17)</f>
        <v>0</v>
      </c>
      <c r="O17" s="255">
        <v>0</v>
      </c>
      <c r="P17" s="255">
        <v>0</v>
      </c>
      <c r="Q17" s="255">
        <v>0</v>
      </c>
      <c r="R17" s="255"/>
      <c r="S17" s="46">
        <f>SUM(O17:R17)</f>
        <v>0</v>
      </c>
    </row>
    <row r="18" spans="1:19" s="18" customFormat="1" ht="17.25" customHeight="1" hidden="1" outlineLevel="1">
      <c r="A18" s="7"/>
      <c r="B18" s="16" t="s">
        <v>20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49">
        <f>SUM(E18:H18)</f>
        <v>0</v>
      </c>
      <c r="J18" s="108">
        <v>0</v>
      </c>
      <c r="K18" s="108">
        <v>0</v>
      </c>
      <c r="L18" s="108">
        <v>0</v>
      </c>
      <c r="M18" s="108">
        <v>0</v>
      </c>
      <c r="N18" s="49">
        <f>SUM(J18:M18)</f>
        <v>0</v>
      </c>
      <c r="O18" s="260">
        <v>0</v>
      </c>
      <c r="P18" s="260">
        <v>0</v>
      </c>
      <c r="Q18" s="260">
        <v>0</v>
      </c>
      <c r="R18" s="260"/>
      <c r="S18" s="49">
        <f>SUM(O18:R18)</f>
        <v>0</v>
      </c>
    </row>
    <row r="19" spans="1:19" s="18" customFormat="1" ht="17.25" customHeight="1" collapsed="1" thickBot="1">
      <c r="A19" s="7"/>
      <c r="B19" s="26" t="s">
        <v>78</v>
      </c>
      <c r="C19" s="40">
        <f aca="true" t="shared" si="7" ref="C19:H19">SUM(C16:C18)</f>
        <v>-2739</v>
      </c>
      <c r="D19" s="40">
        <f t="shared" si="7"/>
        <v>-506</v>
      </c>
      <c r="E19" s="40">
        <f t="shared" si="7"/>
        <v>41</v>
      </c>
      <c r="F19" s="40">
        <f t="shared" si="7"/>
        <v>103</v>
      </c>
      <c r="G19" s="40">
        <f t="shared" si="7"/>
        <v>248</v>
      </c>
      <c r="H19" s="40">
        <f t="shared" si="7"/>
        <v>295</v>
      </c>
      <c r="I19" s="40">
        <f>SUM(E19:H19)</f>
        <v>687</v>
      </c>
      <c r="J19" s="40">
        <f>SUM(J16:J18)</f>
        <v>341</v>
      </c>
      <c r="K19" s="40">
        <f>SUM(K16:K18)</f>
        <v>554</v>
      </c>
      <c r="L19" s="40">
        <f>SUM(L16:L18)</f>
        <v>-192</v>
      </c>
      <c r="M19" s="40">
        <f>SUM(M16:M18)</f>
        <v>9</v>
      </c>
      <c r="N19" s="40">
        <f>SUM(J19:M19)</f>
        <v>712</v>
      </c>
      <c r="O19" s="40">
        <f>SUM(O16:O18)</f>
        <v>158</v>
      </c>
      <c r="P19" s="40">
        <f>SUM(P16:P18)</f>
        <v>20</v>
      </c>
      <c r="Q19" s="40">
        <f>SUM(Q16:Q18)</f>
        <v>61</v>
      </c>
      <c r="R19" s="40">
        <f>SUM(R16:R18)</f>
        <v>63</v>
      </c>
      <c r="S19" s="40">
        <f>SUM(O19:R19)</f>
        <v>302</v>
      </c>
    </row>
    <row r="20" spans="1:19" s="18" customFormat="1" ht="33" customHeight="1" thickBot="1">
      <c r="A20" s="7"/>
      <c r="B20" s="117" t="s">
        <v>126</v>
      </c>
      <c r="C20" s="125">
        <f>+C19</f>
        <v>-2739</v>
      </c>
      <c r="D20" s="125">
        <f>+D19</f>
        <v>-506</v>
      </c>
      <c r="E20" s="125">
        <f>+E19</f>
        <v>41</v>
      </c>
      <c r="F20" s="125">
        <f>+F19</f>
        <v>103</v>
      </c>
      <c r="G20" s="125">
        <f>+G19</f>
        <v>248</v>
      </c>
      <c r="H20" s="125">
        <f aca="true" t="shared" si="8" ref="H20:M20">+H19</f>
        <v>295</v>
      </c>
      <c r="I20" s="125">
        <f t="shared" si="8"/>
        <v>687</v>
      </c>
      <c r="J20" s="125">
        <f t="shared" si="8"/>
        <v>341</v>
      </c>
      <c r="K20" s="125">
        <f t="shared" si="8"/>
        <v>554</v>
      </c>
      <c r="L20" s="125">
        <f t="shared" si="8"/>
        <v>-192</v>
      </c>
      <c r="M20" s="125">
        <f t="shared" si="8"/>
        <v>9</v>
      </c>
      <c r="N20" s="125">
        <f aca="true" t="shared" si="9" ref="N20:S20">+N19</f>
        <v>712</v>
      </c>
      <c r="O20" s="125">
        <f t="shared" si="9"/>
        <v>158</v>
      </c>
      <c r="P20" s="125">
        <f t="shared" si="9"/>
        <v>20</v>
      </c>
      <c r="Q20" s="125">
        <f t="shared" si="9"/>
        <v>61</v>
      </c>
      <c r="R20" s="125">
        <f t="shared" si="9"/>
        <v>63</v>
      </c>
      <c r="S20" s="125">
        <f t="shared" si="9"/>
        <v>302</v>
      </c>
    </row>
    <row r="21" spans="1:19" s="18" customFormat="1" ht="11.25" customHeight="1">
      <c r="A21" s="7"/>
      <c r="B21" s="19"/>
      <c r="C21" s="46"/>
      <c r="D21" s="46"/>
      <c r="E21" s="97"/>
      <c r="F21" s="97"/>
      <c r="G21" s="97"/>
      <c r="H21" s="97"/>
      <c r="I21" s="46"/>
      <c r="J21" s="97"/>
      <c r="K21" s="97"/>
      <c r="L21" s="97"/>
      <c r="M21" s="97"/>
      <c r="N21" s="46"/>
      <c r="O21" s="46"/>
      <c r="P21" s="46"/>
      <c r="Q21" s="46"/>
      <c r="R21" s="46"/>
      <c r="S21" s="46"/>
    </row>
    <row r="22" spans="1:19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6" ht="12" customHeight="1"/>
    <row r="35" ht="11.25" customHeight="1"/>
    <row r="50" ht="11.25" customHeight="1"/>
    <row r="58" ht="13.5" customHeight="1"/>
    <row r="74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showGridLines="0" tabSelected="1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 outlineLevelRow="1"/>
  <cols>
    <col min="1" max="1" width="2.7109375" style="1" customWidth="1"/>
    <col min="2" max="2" width="36.7109375" style="1" customWidth="1"/>
    <col min="3" max="19" width="11.57421875" style="1" customWidth="1"/>
    <col min="20" max="16384" width="1.7109375" style="1" customWidth="1"/>
  </cols>
  <sheetData>
    <row r="1" spans="1:19" ht="21.75" customHeight="1">
      <c r="A1" s="2"/>
      <c r="B1" s="406" t="s">
        <v>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7"/>
      <c r="Q3" s="7"/>
      <c r="R3" s="7"/>
      <c r="S3" s="132"/>
    </row>
    <row r="4" spans="1:19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7"/>
      <c r="B6" s="13" t="s">
        <v>95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s="18" customFormat="1" ht="17.25" customHeight="1">
      <c r="A7" s="7"/>
      <c r="B7" s="14" t="s">
        <v>7</v>
      </c>
      <c r="C7" s="253">
        <v>8409</v>
      </c>
      <c r="D7" s="253">
        <v>6763</v>
      </c>
      <c r="E7" s="95">
        <v>1898</v>
      </c>
      <c r="F7" s="95">
        <v>1207</v>
      </c>
      <c r="G7" s="95">
        <v>1699</v>
      </c>
      <c r="H7" s="95">
        <f>1670</f>
        <v>1670</v>
      </c>
      <c r="I7" s="309">
        <f>SUM(E7:H7)</f>
        <v>6474</v>
      </c>
      <c r="J7" s="95">
        <v>1732</v>
      </c>
      <c r="K7" s="95">
        <v>1378</v>
      </c>
      <c r="L7" s="95">
        <v>1634</v>
      </c>
      <c r="M7" s="95">
        <v>1661</v>
      </c>
      <c r="N7" s="309">
        <f>SUM(J7:M7)</f>
        <v>6405</v>
      </c>
      <c r="O7" s="253">
        <f>1861</f>
        <v>1861</v>
      </c>
      <c r="P7" s="253">
        <v>1633</v>
      </c>
      <c r="Q7" s="253">
        <v>1707</v>
      </c>
      <c r="R7" s="253">
        <v>1932</v>
      </c>
      <c r="S7" s="309">
        <f>SUM(O7:R7)</f>
        <v>7133</v>
      </c>
    </row>
    <row r="8" spans="1:19" s="18" customFormat="1" ht="17.25" customHeight="1">
      <c r="A8" s="7"/>
      <c r="B8" s="16" t="s">
        <v>8</v>
      </c>
      <c r="C8" s="254">
        <v>14755</v>
      </c>
      <c r="D8" s="254">
        <v>13702</v>
      </c>
      <c r="E8" s="96">
        <v>3420</v>
      </c>
      <c r="F8" s="96">
        <v>3604</v>
      </c>
      <c r="G8" s="96">
        <v>3271</v>
      </c>
      <c r="H8" s="96">
        <v>3836</v>
      </c>
      <c r="I8" s="79">
        <f aca="true" t="shared" si="0" ref="I8:I28">SUM(E8:H8)</f>
        <v>14131</v>
      </c>
      <c r="J8" s="96">
        <v>3679</v>
      </c>
      <c r="K8" s="96">
        <v>3469</v>
      </c>
      <c r="L8" s="96">
        <v>3071</v>
      </c>
      <c r="M8" s="96">
        <v>2765</v>
      </c>
      <c r="N8" s="79">
        <f aca="true" t="shared" si="1" ref="N8:N28">SUM(J8:M8)</f>
        <v>12984</v>
      </c>
      <c r="O8" s="254">
        <v>3179</v>
      </c>
      <c r="P8" s="254">
        <v>3137</v>
      </c>
      <c r="Q8" s="254">
        <v>3231</v>
      </c>
      <c r="R8" s="254">
        <v>3553</v>
      </c>
      <c r="S8" s="79">
        <f aca="true" t="shared" si="2" ref="S8:S28">SUM(O8:R8)</f>
        <v>13100</v>
      </c>
    </row>
    <row r="9" spans="1:19" s="18" customFormat="1" ht="17.25" customHeight="1">
      <c r="A9" s="7"/>
      <c r="B9" s="16" t="s">
        <v>9</v>
      </c>
      <c r="C9" s="254">
        <v>-9853</v>
      </c>
      <c r="D9" s="254">
        <v>12127</v>
      </c>
      <c r="E9" s="96">
        <v>3453</v>
      </c>
      <c r="F9" s="96">
        <v>3629</v>
      </c>
      <c r="G9" s="96">
        <v>938</v>
      </c>
      <c r="H9" s="96">
        <v>1308</v>
      </c>
      <c r="I9" s="79">
        <f t="shared" si="0"/>
        <v>9328</v>
      </c>
      <c r="J9" s="96">
        <v>2004</v>
      </c>
      <c r="K9" s="96">
        <v>1127</v>
      </c>
      <c r="L9" s="96">
        <v>1826</v>
      </c>
      <c r="M9" s="96">
        <v>-36</v>
      </c>
      <c r="N9" s="79">
        <f t="shared" si="1"/>
        <v>4921</v>
      </c>
      <c r="O9" s="254">
        <v>180</v>
      </c>
      <c r="P9" s="254">
        <v>1147</v>
      </c>
      <c r="Q9" s="254">
        <v>-11</v>
      </c>
      <c r="R9" s="254">
        <v>-155</v>
      </c>
      <c r="S9" s="79">
        <f t="shared" si="2"/>
        <v>1161</v>
      </c>
    </row>
    <row r="10" spans="1:19" s="18" customFormat="1" ht="17.25" customHeight="1">
      <c r="A10" s="7"/>
      <c r="B10" s="19" t="s">
        <v>10</v>
      </c>
      <c r="C10" s="255">
        <v>-1449</v>
      </c>
      <c r="D10" s="255">
        <v>1025</v>
      </c>
      <c r="E10" s="97">
        <v>190</v>
      </c>
      <c r="F10" s="97">
        <v>-20</v>
      </c>
      <c r="G10" s="97">
        <v>376</v>
      </c>
      <c r="H10" s="97">
        <v>146</v>
      </c>
      <c r="I10" s="311">
        <f t="shared" si="0"/>
        <v>692</v>
      </c>
      <c r="J10" s="97">
        <v>398</v>
      </c>
      <c r="K10" s="97">
        <v>352</v>
      </c>
      <c r="L10" s="97">
        <v>286</v>
      </c>
      <c r="M10" s="97">
        <v>83</v>
      </c>
      <c r="N10" s="311">
        <f t="shared" si="1"/>
        <v>1119</v>
      </c>
      <c r="O10" s="255">
        <v>658</v>
      </c>
      <c r="P10" s="255">
        <v>324</v>
      </c>
      <c r="Q10" s="255">
        <v>839</v>
      </c>
      <c r="R10" s="255">
        <v>391</v>
      </c>
      <c r="S10" s="311">
        <f t="shared" si="2"/>
        <v>2212</v>
      </c>
    </row>
    <row r="11" spans="1:19" s="18" customFormat="1" ht="17.25" customHeight="1" thickBot="1">
      <c r="A11" s="7"/>
      <c r="B11" s="21" t="s">
        <v>11</v>
      </c>
      <c r="C11" s="80">
        <f aca="true" t="shared" si="3" ref="C11:H11">SUM(C7:C10)</f>
        <v>11862</v>
      </c>
      <c r="D11" s="80">
        <f t="shared" si="3"/>
        <v>33617</v>
      </c>
      <c r="E11" s="80">
        <f t="shared" si="3"/>
        <v>8961</v>
      </c>
      <c r="F11" s="80">
        <f t="shared" si="3"/>
        <v>8420</v>
      </c>
      <c r="G11" s="80">
        <f t="shared" si="3"/>
        <v>6284</v>
      </c>
      <c r="H11" s="80">
        <f t="shared" si="3"/>
        <v>6960</v>
      </c>
      <c r="I11" s="80">
        <f t="shared" si="0"/>
        <v>30625</v>
      </c>
      <c r="J11" s="80">
        <f>SUM(J7:J10)</f>
        <v>7813</v>
      </c>
      <c r="K11" s="80">
        <f>SUM(K7:K10)</f>
        <v>6326</v>
      </c>
      <c r="L11" s="80">
        <f>SUM(L7:L10)</f>
        <v>6817</v>
      </c>
      <c r="M11" s="80">
        <f>SUM(M7:M10)</f>
        <v>4473</v>
      </c>
      <c r="N11" s="80">
        <f t="shared" si="1"/>
        <v>25429</v>
      </c>
      <c r="O11" s="80">
        <f>SUM(O7:O10)</f>
        <v>5878</v>
      </c>
      <c r="P11" s="80">
        <f>SUM(P7:P10)</f>
        <v>6241</v>
      </c>
      <c r="Q11" s="80">
        <f>SUM(Q7:Q10)</f>
        <v>5766</v>
      </c>
      <c r="R11" s="80">
        <f>SUM(R7:R10)</f>
        <v>5721</v>
      </c>
      <c r="S11" s="80">
        <f t="shared" si="2"/>
        <v>23606</v>
      </c>
    </row>
    <row r="12" spans="1:19" ht="17.25" customHeight="1" thickBot="1">
      <c r="A12" s="7"/>
      <c r="B12" s="23" t="s">
        <v>12</v>
      </c>
      <c r="C12" s="256">
        <v>813</v>
      </c>
      <c r="D12" s="256">
        <v>506</v>
      </c>
      <c r="E12" s="99">
        <v>-50</v>
      </c>
      <c r="F12" s="99">
        <v>20</v>
      </c>
      <c r="G12" s="99">
        <v>-26</v>
      </c>
      <c r="H12" s="99">
        <v>-23</v>
      </c>
      <c r="I12" s="81">
        <f t="shared" si="0"/>
        <v>-79</v>
      </c>
      <c r="J12" s="99">
        <v>-7</v>
      </c>
      <c r="K12" s="99">
        <v>13</v>
      </c>
      <c r="L12" s="99">
        <v>84</v>
      </c>
      <c r="M12" s="99">
        <v>97</v>
      </c>
      <c r="N12" s="81">
        <f t="shared" si="1"/>
        <v>187</v>
      </c>
      <c r="O12" s="256">
        <v>34</v>
      </c>
      <c r="P12" s="256">
        <v>25</v>
      </c>
      <c r="Q12" s="256">
        <v>41</v>
      </c>
      <c r="R12" s="256">
        <v>70</v>
      </c>
      <c r="S12" s="81">
        <f t="shared" si="2"/>
        <v>170</v>
      </c>
    </row>
    <row r="13" spans="1:19" ht="17.25" customHeight="1">
      <c r="A13" s="7"/>
      <c r="B13" s="19" t="s">
        <v>13</v>
      </c>
      <c r="C13" s="257">
        <v>13179</v>
      </c>
      <c r="D13" s="257">
        <v>14927</v>
      </c>
      <c r="E13" s="100">
        <v>3891</v>
      </c>
      <c r="F13" s="100">
        <v>3982</v>
      </c>
      <c r="G13" s="100">
        <v>3327</v>
      </c>
      <c r="H13" s="100">
        <v>3362</v>
      </c>
      <c r="I13" s="312">
        <f t="shared" si="0"/>
        <v>14562</v>
      </c>
      <c r="J13" s="100">
        <v>4025</v>
      </c>
      <c r="K13" s="100">
        <v>3093</v>
      </c>
      <c r="L13" s="100">
        <v>3010</v>
      </c>
      <c r="M13" s="100">
        <v>3023</v>
      </c>
      <c r="N13" s="312">
        <f t="shared" si="1"/>
        <v>13151</v>
      </c>
      <c r="O13" s="257">
        <v>3707</v>
      </c>
      <c r="P13" s="257">
        <v>3000</v>
      </c>
      <c r="Q13" s="257">
        <v>3082</v>
      </c>
      <c r="R13" s="257">
        <v>2705</v>
      </c>
      <c r="S13" s="312">
        <f t="shared" si="2"/>
        <v>12494</v>
      </c>
    </row>
    <row r="14" spans="1:19" ht="17.25" customHeight="1">
      <c r="A14" s="7"/>
      <c r="B14" s="24" t="s">
        <v>14</v>
      </c>
      <c r="C14" s="264">
        <v>7739</v>
      </c>
      <c r="D14" s="264">
        <v>7604</v>
      </c>
      <c r="E14" s="101">
        <v>1666</v>
      </c>
      <c r="F14" s="101">
        <v>2043</v>
      </c>
      <c r="G14" s="101">
        <v>1746</v>
      </c>
      <c r="H14" s="101">
        <v>1739</v>
      </c>
      <c r="I14" s="82">
        <f t="shared" si="0"/>
        <v>7194</v>
      </c>
      <c r="J14" s="101">
        <v>1634</v>
      </c>
      <c r="K14" s="101">
        <v>1643</v>
      </c>
      <c r="L14" s="101">
        <v>2202</v>
      </c>
      <c r="M14" s="101">
        <v>1871</v>
      </c>
      <c r="N14" s="82">
        <f t="shared" si="1"/>
        <v>7350</v>
      </c>
      <c r="O14" s="264">
        <v>1646</v>
      </c>
      <c r="P14" s="264">
        <v>1664</v>
      </c>
      <c r="Q14" s="264">
        <v>1857</v>
      </c>
      <c r="R14" s="264">
        <v>2121</v>
      </c>
      <c r="S14" s="82">
        <f t="shared" si="2"/>
        <v>7288</v>
      </c>
    </row>
    <row r="15" spans="1:19" s="18" customFormat="1" ht="17.25" customHeight="1">
      <c r="A15" s="7"/>
      <c r="B15" s="25" t="s">
        <v>15</v>
      </c>
      <c r="C15" s="261">
        <v>2294</v>
      </c>
      <c r="D15" s="261">
        <v>1997</v>
      </c>
      <c r="E15" s="102">
        <v>520</v>
      </c>
      <c r="F15" s="102">
        <v>569</v>
      </c>
      <c r="G15" s="102">
        <v>484</v>
      </c>
      <c r="H15" s="102">
        <v>575</v>
      </c>
      <c r="I15" s="83">
        <f t="shared" si="0"/>
        <v>2148</v>
      </c>
      <c r="J15" s="102">
        <v>536</v>
      </c>
      <c r="K15" s="102">
        <v>491</v>
      </c>
      <c r="L15" s="102">
        <v>485</v>
      </c>
      <c r="M15" s="102">
        <v>480</v>
      </c>
      <c r="N15" s="83">
        <f t="shared" si="1"/>
        <v>1992</v>
      </c>
      <c r="O15" s="261">
        <v>451</v>
      </c>
      <c r="P15" s="261">
        <v>441</v>
      </c>
      <c r="Q15" s="261">
        <v>427</v>
      </c>
      <c r="R15" s="261">
        <v>456</v>
      </c>
      <c r="S15" s="83">
        <f t="shared" si="2"/>
        <v>1775</v>
      </c>
    </row>
    <row r="16" spans="1:19" ht="17.25" customHeight="1">
      <c r="A16" s="7"/>
      <c r="B16" s="19" t="s">
        <v>16</v>
      </c>
      <c r="C16" s="84">
        <f aca="true" t="shared" si="4" ref="C16:H16">SUM(C14:C15)</f>
        <v>10033</v>
      </c>
      <c r="D16" s="84">
        <f t="shared" si="4"/>
        <v>9601</v>
      </c>
      <c r="E16" s="84">
        <f t="shared" si="4"/>
        <v>2186</v>
      </c>
      <c r="F16" s="84">
        <f t="shared" si="4"/>
        <v>2612</v>
      </c>
      <c r="G16" s="84">
        <f t="shared" si="4"/>
        <v>2230</v>
      </c>
      <c r="H16" s="84">
        <f t="shared" si="4"/>
        <v>2314</v>
      </c>
      <c r="I16" s="84">
        <f t="shared" si="0"/>
        <v>9342</v>
      </c>
      <c r="J16" s="84">
        <f>SUM(J14:J15)</f>
        <v>2170</v>
      </c>
      <c r="K16" s="84">
        <f>SUM(K14:K15)</f>
        <v>2134</v>
      </c>
      <c r="L16" s="84">
        <f>SUM(L14:L15)</f>
        <v>2687</v>
      </c>
      <c r="M16" s="84">
        <f>SUM(M14:M15)</f>
        <v>2351</v>
      </c>
      <c r="N16" s="84">
        <f t="shared" si="1"/>
        <v>9342</v>
      </c>
      <c r="O16" s="84">
        <f>SUM(O14:O15)</f>
        <v>2097</v>
      </c>
      <c r="P16" s="84">
        <f>SUM(P14:P15)</f>
        <v>2105</v>
      </c>
      <c r="Q16" s="84">
        <f>SUM(Q14:Q15)</f>
        <v>2284</v>
      </c>
      <c r="R16" s="84">
        <f>SUM(R14:R15)</f>
        <v>2577</v>
      </c>
      <c r="S16" s="84">
        <f t="shared" si="2"/>
        <v>9063</v>
      </c>
    </row>
    <row r="17" spans="1:19" ht="17.25" customHeight="1" thickBot="1">
      <c r="A17" s="7"/>
      <c r="B17" s="26" t="s">
        <v>17</v>
      </c>
      <c r="C17" s="80">
        <f aca="true" t="shared" si="5" ref="C17:H17">+C13+C16</f>
        <v>23212</v>
      </c>
      <c r="D17" s="80">
        <f t="shared" si="5"/>
        <v>24528</v>
      </c>
      <c r="E17" s="80">
        <f t="shared" si="5"/>
        <v>6077</v>
      </c>
      <c r="F17" s="80">
        <f t="shared" si="5"/>
        <v>6594</v>
      </c>
      <c r="G17" s="80">
        <f t="shared" si="5"/>
        <v>5557</v>
      </c>
      <c r="H17" s="80">
        <f t="shared" si="5"/>
        <v>5676</v>
      </c>
      <c r="I17" s="80">
        <f t="shared" si="0"/>
        <v>23904</v>
      </c>
      <c r="J17" s="80">
        <f>+J13+J16</f>
        <v>6195</v>
      </c>
      <c r="K17" s="80">
        <f>+K13+K16</f>
        <v>5227</v>
      </c>
      <c r="L17" s="80">
        <f>+L13+L16</f>
        <v>5697</v>
      </c>
      <c r="M17" s="80">
        <f>+M13+M16</f>
        <v>5374</v>
      </c>
      <c r="N17" s="80">
        <f t="shared" si="1"/>
        <v>22493</v>
      </c>
      <c r="O17" s="80">
        <f>+O13+O16</f>
        <v>5804</v>
      </c>
      <c r="P17" s="80">
        <f>+P13+P16</f>
        <v>5105</v>
      </c>
      <c r="Q17" s="80">
        <f>+Q13+Q16</f>
        <v>5366</v>
      </c>
      <c r="R17" s="80">
        <f>+R13+R16</f>
        <v>5282</v>
      </c>
      <c r="S17" s="80">
        <f t="shared" si="2"/>
        <v>21557</v>
      </c>
    </row>
    <row r="18" spans="1:19" ht="26.25" thickBot="1">
      <c r="A18" s="7"/>
      <c r="B18" s="115" t="s">
        <v>81</v>
      </c>
      <c r="C18" s="81">
        <f aca="true" t="shared" si="6" ref="C18:H18">+C11-C12-C17</f>
        <v>-12163</v>
      </c>
      <c r="D18" s="81">
        <f t="shared" si="6"/>
        <v>8583</v>
      </c>
      <c r="E18" s="81">
        <f t="shared" si="6"/>
        <v>2934</v>
      </c>
      <c r="F18" s="81">
        <f t="shared" si="6"/>
        <v>1806</v>
      </c>
      <c r="G18" s="81">
        <f t="shared" si="6"/>
        <v>753</v>
      </c>
      <c r="H18" s="81">
        <f t="shared" si="6"/>
        <v>1307</v>
      </c>
      <c r="I18" s="81">
        <f t="shared" si="0"/>
        <v>6800</v>
      </c>
      <c r="J18" s="81">
        <f>+J11-J12-J17</f>
        <v>1625</v>
      </c>
      <c r="K18" s="81">
        <f>+K11-K12-K17</f>
        <v>1086</v>
      </c>
      <c r="L18" s="81">
        <f>+L11-L12-L17</f>
        <v>1036</v>
      </c>
      <c r="M18" s="81">
        <f>+M11-M12-M17</f>
        <v>-998</v>
      </c>
      <c r="N18" s="81">
        <f t="shared" si="1"/>
        <v>2749</v>
      </c>
      <c r="O18" s="81">
        <f>+O11-O12-O17</f>
        <v>40</v>
      </c>
      <c r="P18" s="81">
        <f>+P11-P12-P17</f>
        <v>1111</v>
      </c>
      <c r="Q18" s="81">
        <f>+Q11-Q12-Q17</f>
        <v>359</v>
      </c>
      <c r="R18" s="81">
        <f>+R11-R12-R17</f>
        <v>369</v>
      </c>
      <c r="S18" s="81">
        <f t="shared" si="2"/>
        <v>1879</v>
      </c>
    </row>
    <row r="19" spans="1:19" s="18" customFormat="1" ht="17.25" customHeight="1">
      <c r="A19" s="7"/>
      <c r="B19" s="19" t="s">
        <v>79</v>
      </c>
      <c r="C19" s="257">
        <v>-4596</v>
      </c>
      <c r="D19" s="257">
        <v>1835</v>
      </c>
      <c r="E19" s="100">
        <v>839</v>
      </c>
      <c r="F19" s="100">
        <f>187</f>
        <v>187</v>
      </c>
      <c r="G19" s="100">
        <f>117</f>
        <v>117</v>
      </c>
      <c r="H19" s="100">
        <v>405</v>
      </c>
      <c r="I19" s="312">
        <f t="shared" si="0"/>
        <v>1548</v>
      </c>
      <c r="J19" s="100">
        <v>465</v>
      </c>
      <c r="K19" s="100">
        <v>271</v>
      </c>
      <c r="L19" s="100">
        <v>332</v>
      </c>
      <c r="M19" s="100">
        <v>-397</v>
      </c>
      <c r="N19" s="312">
        <f t="shared" si="1"/>
        <v>671</v>
      </c>
      <c r="O19" s="257">
        <v>-16</v>
      </c>
      <c r="P19" s="257">
        <v>311</v>
      </c>
      <c r="Q19" s="257">
        <v>101</v>
      </c>
      <c r="R19" s="257">
        <v>100</v>
      </c>
      <c r="S19" s="312">
        <f t="shared" si="2"/>
        <v>496</v>
      </c>
    </row>
    <row r="20" spans="1:19" ht="26.25" thickBot="1">
      <c r="A20" s="7"/>
      <c r="B20" s="116" t="s">
        <v>82</v>
      </c>
      <c r="C20" s="40">
        <f aca="true" t="shared" si="7" ref="C20:H20">+C18-C19</f>
        <v>-7567</v>
      </c>
      <c r="D20" s="40">
        <f t="shared" si="7"/>
        <v>6748</v>
      </c>
      <c r="E20" s="40">
        <f t="shared" si="7"/>
        <v>2095</v>
      </c>
      <c r="F20" s="40">
        <f t="shared" si="7"/>
        <v>1619</v>
      </c>
      <c r="G20" s="40">
        <f t="shared" si="7"/>
        <v>636</v>
      </c>
      <c r="H20" s="40">
        <f t="shared" si="7"/>
        <v>902</v>
      </c>
      <c r="I20" s="40">
        <f t="shared" si="0"/>
        <v>5252</v>
      </c>
      <c r="J20" s="40">
        <f>+J18-J19</f>
        <v>1160</v>
      </c>
      <c r="K20" s="40">
        <f>+K18-K19</f>
        <v>815</v>
      </c>
      <c r="L20" s="40">
        <f>+L18-L19</f>
        <v>704</v>
      </c>
      <c r="M20" s="40">
        <f>+M18-M19</f>
        <v>-601</v>
      </c>
      <c r="N20" s="40">
        <f t="shared" si="1"/>
        <v>2078</v>
      </c>
      <c r="O20" s="40">
        <f>+O18-O19</f>
        <v>56</v>
      </c>
      <c r="P20" s="40">
        <f>+P18-P19</f>
        <v>800</v>
      </c>
      <c r="Q20" s="40">
        <f>+Q18-Q19</f>
        <v>258</v>
      </c>
      <c r="R20" s="40">
        <f>+R18-R19</f>
        <v>269</v>
      </c>
      <c r="S20" s="40">
        <f t="shared" si="2"/>
        <v>1383</v>
      </c>
    </row>
    <row r="21" spans="1:19" ht="17.25" customHeight="1">
      <c r="A21" s="7"/>
      <c r="B21" s="19" t="s">
        <v>85</v>
      </c>
      <c r="C21" s="255">
        <v>-531</v>
      </c>
      <c r="D21" s="255">
        <v>169</v>
      </c>
      <c r="E21" s="97">
        <v>-19</v>
      </c>
      <c r="F21" s="97">
        <v>0</v>
      </c>
      <c r="G21" s="97">
        <v>0</v>
      </c>
      <c r="H21" s="97">
        <v>0</v>
      </c>
      <c r="I21" s="311">
        <f t="shared" si="0"/>
        <v>-19</v>
      </c>
      <c r="J21" s="97">
        <v>0</v>
      </c>
      <c r="K21" s="97">
        <v>0</v>
      </c>
      <c r="L21" s="97">
        <v>0</v>
      </c>
      <c r="M21" s="97">
        <v>0</v>
      </c>
      <c r="N21" s="311">
        <f t="shared" si="1"/>
        <v>0</v>
      </c>
      <c r="O21" s="255">
        <v>0</v>
      </c>
      <c r="P21" s="255">
        <v>0</v>
      </c>
      <c r="Q21" s="255">
        <v>0</v>
      </c>
      <c r="R21" s="255">
        <v>0</v>
      </c>
      <c r="S21" s="311">
        <f t="shared" si="2"/>
        <v>0</v>
      </c>
    </row>
    <row r="22" spans="1:19" s="18" customFormat="1" ht="21" customHeight="1">
      <c r="A22" s="7"/>
      <c r="B22" s="16" t="s">
        <v>20</v>
      </c>
      <c r="C22" s="85">
        <v>0</v>
      </c>
      <c r="D22" s="260">
        <v>0</v>
      </c>
      <c r="E22" s="108">
        <v>0</v>
      </c>
      <c r="F22" s="108">
        <v>0</v>
      </c>
      <c r="G22" s="108">
        <v>0</v>
      </c>
      <c r="H22" s="108">
        <v>0</v>
      </c>
      <c r="I22" s="85">
        <f t="shared" si="0"/>
        <v>0</v>
      </c>
      <c r="J22" s="108">
        <v>0</v>
      </c>
      <c r="K22" s="108">
        <v>0</v>
      </c>
      <c r="L22" s="108">
        <v>0</v>
      </c>
      <c r="M22" s="108">
        <v>0</v>
      </c>
      <c r="N22" s="85">
        <f t="shared" si="1"/>
        <v>0</v>
      </c>
      <c r="O22" s="260">
        <v>0</v>
      </c>
      <c r="P22" s="260">
        <v>0</v>
      </c>
      <c r="Q22" s="260">
        <v>0</v>
      </c>
      <c r="R22" s="260">
        <v>0</v>
      </c>
      <c r="S22" s="85">
        <f t="shared" si="2"/>
        <v>0</v>
      </c>
    </row>
    <row r="23" spans="1:19" s="18" customFormat="1" ht="17.25" customHeight="1" thickBot="1">
      <c r="A23" s="7"/>
      <c r="B23" s="26" t="s">
        <v>78</v>
      </c>
      <c r="C23" s="80">
        <f aca="true" t="shared" si="8" ref="C23:H23">SUM(C20:C22)</f>
        <v>-8098</v>
      </c>
      <c r="D23" s="80">
        <f>SUM(D20:D22)</f>
        <v>6917</v>
      </c>
      <c r="E23" s="80">
        <f t="shared" si="8"/>
        <v>2076</v>
      </c>
      <c r="F23" s="80">
        <f t="shared" si="8"/>
        <v>1619</v>
      </c>
      <c r="G23" s="80">
        <f t="shared" si="8"/>
        <v>636</v>
      </c>
      <c r="H23" s="80">
        <f t="shared" si="8"/>
        <v>902</v>
      </c>
      <c r="I23" s="80">
        <f t="shared" si="0"/>
        <v>5233</v>
      </c>
      <c r="J23" s="80">
        <f>SUM(J20:J22)</f>
        <v>1160</v>
      </c>
      <c r="K23" s="80">
        <f>SUM(K20:K22)</f>
        <v>815</v>
      </c>
      <c r="L23" s="80">
        <f>SUM(L20:L22)</f>
        <v>704</v>
      </c>
      <c r="M23" s="80">
        <f>SUM(M20:M22)</f>
        <v>-601</v>
      </c>
      <c r="N23" s="80">
        <f t="shared" si="1"/>
        <v>2078</v>
      </c>
      <c r="O23" s="80">
        <f>SUM(O20:O22)</f>
        <v>56</v>
      </c>
      <c r="P23" s="80">
        <f>SUM(P20:P22)</f>
        <v>800</v>
      </c>
      <c r="Q23" s="80">
        <f>SUM(Q20:Q22)</f>
        <v>258</v>
      </c>
      <c r="R23" s="80">
        <f>SUM(R20:R22)</f>
        <v>269</v>
      </c>
      <c r="S23" s="80">
        <f t="shared" si="2"/>
        <v>1383</v>
      </c>
    </row>
    <row r="24" spans="1:19" s="18" customFormat="1" ht="31.5" customHeight="1">
      <c r="A24" s="7"/>
      <c r="B24" s="133" t="s">
        <v>126</v>
      </c>
      <c r="C24" s="261">
        <v>120</v>
      </c>
      <c r="D24" s="261">
        <v>193</v>
      </c>
      <c r="E24" s="102">
        <v>21</v>
      </c>
      <c r="F24" s="102">
        <v>26</v>
      </c>
      <c r="G24" s="102">
        <v>27</v>
      </c>
      <c r="H24" s="102">
        <v>61</v>
      </c>
      <c r="I24" s="83">
        <f t="shared" si="0"/>
        <v>135</v>
      </c>
      <c r="J24" s="102">
        <v>21</v>
      </c>
      <c r="K24" s="102">
        <v>47</v>
      </c>
      <c r="L24" s="102">
        <v>21</v>
      </c>
      <c r="M24" s="102">
        <v>36</v>
      </c>
      <c r="N24" s="83">
        <f t="shared" si="1"/>
        <v>125</v>
      </c>
      <c r="O24" s="261">
        <v>12</v>
      </c>
      <c r="P24" s="261">
        <v>12</v>
      </c>
      <c r="Q24" s="261">
        <v>4</v>
      </c>
      <c r="R24" s="261">
        <v>6</v>
      </c>
      <c r="S24" s="83">
        <f t="shared" si="2"/>
        <v>34</v>
      </c>
    </row>
    <row r="25" spans="1:19" s="18" customFormat="1" ht="31.5" customHeight="1" thickBot="1">
      <c r="A25" s="7"/>
      <c r="B25" s="39" t="s">
        <v>103</v>
      </c>
      <c r="C25" s="40">
        <f aca="true" t="shared" si="9" ref="C25:H25">+C23-C24</f>
        <v>-8218</v>
      </c>
      <c r="D25" s="40">
        <f t="shared" si="9"/>
        <v>6724</v>
      </c>
      <c r="E25" s="40">
        <f t="shared" si="9"/>
        <v>2055</v>
      </c>
      <c r="F25" s="40">
        <f t="shared" si="9"/>
        <v>1593</v>
      </c>
      <c r="G25" s="40">
        <f t="shared" si="9"/>
        <v>609</v>
      </c>
      <c r="H25" s="40">
        <f t="shared" si="9"/>
        <v>841</v>
      </c>
      <c r="I25" s="40">
        <f t="shared" si="0"/>
        <v>5098</v>
      </c>
      <c r="J25" s="40">
        <f>+J23-J24</f>
        <v>1139</v>
      </c>
      <c r="K25" s="40">
        <f>+K23-K24</f>
        <v>768</v>
      </c>
      <c r="L25" s="40">
        <f>+L23-L24</f>
        <v>683</v>
      </c>
      <c r="M25" s="40">
        <f>+M23-M24</f>
        <v>-637</v>
      </c>
      <c r="N25" s="40">
        <f t="shared" si="1"/>
        <v>1953</v>
      </c>
      <c r="O25" s="40">
        <f>+O23-O24</f>
        <v>44</v>
      </c>
      <c r="P25" s="40">
        <f>+P23-P24</f>
        <v>788</v>
      </c>
      <c r="Q25" s="40">
        <f>+Q23-Q24</f>
        <v>254</v>
      </c>
      <c r="R25" s="40">
        <f>+R23-R24</f>
        <v>263</v>
      </c>
      <c r="S25" s="40">
        <f t="shared" si="2"/>
        <v>1349</v>
      </c>
    </row>
    <row r="26" spans="1:19" ht="30" customHeight="1">
      <c r="A26" s="7"/>
      <c r="B26" s="137" t="s">
        <v>98</v>
      </c>
      <c r="C26" s="136">
        <f aca="true" t="shared" si="10" ref="C26:H26">+C20-C24</f>
        <v>-7687</v>
      </c>
      <c r="D26" s="136">
        <f t="shared" si="10"/>
        <v>6555</v>
      </c>
      <c r="E26" s="136">
        <f t="shared" si="10"/>
        <v>2074</v>
      </c>
      <c r="F26" s="136">
        <f t="shared" si="10"/>
        <v>1593</v>
      </c>
      <c r="G26" s="136">
        <f t="shared" si="10"/>
        <v>609</v>
      </c>
      <c r="H26" s="136">
        <f t="shared" si="10"/>
        <v>841</v>
      </c>
      <c r="I26" s="136">
        <f t="shared" si="0"/>
        <v>5117</v>
      </c>
      <c r="J26" s="136">
        <f>+J20-J24</f>
        <v>1139</v>
      </c>
      <c r="K26" s="136">
        <f>+K20-K24</f>
        <v>768</v>
      </c>
      <c r="L26" s="136">
        <f>+L20-L24</f>
        <v>683</v>
      </c>
      <c r="M26" s="136">
        <f>+M20-M24</f>
        <v>-637</v>
      </c>
      <c r="N26" s="136">
        <f t="shared" si="1"/>
        <v>1953</v>
      </c>
      <c r="O26" s="136">
        <f>+O20-O24</f>
        <v>44</v>
      </c>
      <c r="P26" s="136">
        <f>+P20-P24</f>
        <v>788</v>
      </c>
      <c r="Q26" s="136">
        <f>+Q20-Q24</f>
        <v>254</v>
      </c>
      <c r="R26" s="136">
        <f>+R20-R24</f>
        <v>263</v>
      </c>
      <c r="S26" s="136">
        <f t="shared" si="2"/>
        <v>1349</v>
      </c>
    </row>
    <row r="27" spans="1:19" ht="27.75" customHeight="1">
      <c r="A27" s="7"/>
      <c r="B27" s="137" t="s">
        <v>104</v>
      </c>
      <c r="C27" s="134">
        <f>+C21</f>
        <v>-531</v>
      </c>
      <c r="D27" s="134">
        <f>+D21</f>
        <v>169</v>
      </c>
      <c r="E27" s="134">
        <f>+E21</f>
        <v>-19</v>
      </c>
      <c r="F27" s="134">
        <f aca="true" t="shared" si="11" ref="E27:H28">+F21</f>
        <v>0</v>
      </c>
      <c r="G27" s="134">
        <f t="shared" si="11"/>
        <v>0</v>
      </c>
      <c r="H27" s="134">
        <f t="shared" si="11"/>
        <v>0</v>
      </c>
      <c r="I27" s="134">
        <f t="shared" si="0"/>
        <v>-19</v>
      </c>
      <c r="J27" s="134">
        <f aca="true" t="shared" si="12" ref="J27:L28">+J21</f>
        <v>0</v>
      </c>
      <c r="K27" s="134">
        <f t="shared" si="12"/>
        <v>0</v>
      </c>
      <c r="L27" s="134">
        <f t="shared" si="12"/>
        <v>0</v>
      </c>
      <c r="M27" s="134">
        <f>+M21</f>
        <v>0</v>
      </c>
      <c r="N27" s="134">
        <f t="shared" si="1"/>
        <v>0</v>
      </c>
      <c r="O27" s="134">
        <f aca="true" t="shared" si="13" ref="O27:Q28">+O21</f>
        <v>0</v>
      </c>
      <c r="P27" s="134">
        <f t="shared" si="13"/>
        <v>0</v>
      </c>
      <c r="Q27" s="134">
        <f t="shared" si="13"/>
        <v>0</v>
      </c>
      <c r="R27" s="134">
        <f>+R21</f>
        <v>0</v>
      </c>
      <c r="S27" s="134">
        <f t="shared" si="2"/>
        <v>0</v>
      </c>
    </row>
    <row r="28" spans="1:19" ht="19.5" customHeight="1" hidden="1" outlineLevel="1" thickBot="1">
      <c r="A28" s="7"/>
      <c r="B28" s="198" t="s">
        <v>97</v>
      </c>
      <c r="C28" s="199">
        <f>+C22</f>
        <v>0</v>
      </c>
      <c r="D28" s="199">
        <f>+D22</f>
        <v>0</v>
      </c>
      <c r="E28" s="199">
        <f t="shared" si="11"/>
        <v>0</v>
      </c>
      <c r="F28" s="199">
        <f t="shared" si="11"/>
        <v>0</v>
      </c>
      <c r="G28" s="199">
        <f t="shared" si="11"/>
        <v>0</v>
      </c>
      <c r="H28" s="199">
        <f t="shared" si="11"/>
        <v>0</v>
      </c>
      <c r="I28" s="199">
        <f t="shared" si="0"/>
        <v>0</v>
      </c>
      <c r="J28" s="199">
        <f t="shared" si="12"/>
        <v>0</v>
      </c>
      <c r="K28" s="199">
        <f t="shared" si="12"/>
        <v>0</v>
      </c>
      <c r="L28" s="199">
        <f t="shared" si="12"/>
        <v>0</v>
      </c>
      <c r="M28" s="199">
        <f>+M22</f>
        <v>0</v>
      </c>
      <c r="N28" s="199">
        <f t="shared" si="1"/>
        <v>0</v>
      </c>
      <c r="O28" s="199">
        <f t="shared" si="13"/>
        <v>0</v>
      </c>
      <c r="P28" s="199">
        <f t="shared" si="13"/>
        <v>0</v>
      </c>
      <c r="Q28" s="199">
        <f t="shared" si="13"/>
        <v>0</v>
      </c>
      <c r="R28" s="199">
        <f>+R22</f>
        <v>0</v>
      </c>
      <c r="S28" s="199">
        <f t="shared" si="2"/>
        <v>0</v>
      </c>
    </row>
    <row r="29" spans="1:19" ht="12" customHeight="1" collapsed="1">
      <c r="A29" s="7"/>
      <c r="B29" s="1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7.25" customHeight="1">
      <c r="A30" s="7"/>
      <c r="B30" s="13" t="s">
        <v>96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7.25" customHeight="1">
      <c r="A31" s="7"/>
      <c r="B31" s="28" t="s">
        <v>36</v>
      </c>
      <c r="C31" s="51">
        <f>+C17/C11*100</f>
        <v>195.7</v>
      </c>
      <c r="D31" s="51">
        <f>+D17/D11*100</f>
        <v>73</v>
      </c>
      <c r="E31" s="51">
        <f>+E17/E11*100</f>
        <v>67.8</v>
      </c>
      <c r="F31" s="51">
        <f aca="true" t="shared" si="14" ref="F31:K31">+F17/F11*100</f>
        <v>78.3</v>
      </c>
      <c r="G31" s="51">
        <f t="shared" si="14"/>
        <v>88.4</v>
      </c>
      <c r="H31" s="51">
        <f t="shared" si="14"/>
        <v>81.6</v>
      </c>
      <c r="I31" s="51">
        <f t="shared" si="14"/>
        <v>78.1</v>
      </c>
      <c r="J31" s="51">
        <f t="shared" si="14"/>
        <v>79.3</v>
      </c>
      <c r="K31" s="51">
        <f t="shared" si="14"/>
        <v>82.6</v>
      </c>
      <c r="L31" s="51">
        <f aca="true" t="shared" si="15" ref="L31:Q31">+L17/L11*100</f>
        <v>83.6</v>
      </c>
      <c r="M31" s="51">
        <f t="shared" si="15"/>
        <v>120.1</v>
      </c>
      <c r="N31" s="51">
        <f t="shared" si="15"/>
        <v>88.5</v>
      </c>
      <c r="O31" s="51">
        <f t="shared" si="15"/>
        <v>98.7</v>
      </c>
      <c r="P31" s="51">
        <f t="shared" si="15"/>
        <v>81.8</v>
      </c>
      <c r="Q31" s="51">
        <f t="shared" si="15"/>
        <v>93.1</v>
      </c>
      <c r="R31" s="51">
        <f>+R17/R11*100</f>
        <v>92.3</v>
      </c>
      <c r="S31" s="51">
        <f>+S17/S11*100</f>
        <v>91.3</v>
      </c>
    </row>
    <row r="32" spans="1:19" ht="17.25" customHeight="1">
      <c r="A32" s="7"/>
      <c r="B32" s="28" t="s">
        <v>37</v>
      </c>
      <c r="C32" s="51">
        <f>+C18/C11*100</f>
        <v>-102.5</v>
      </c>
      <c r="D32" s="51">
        <f>+D18/D11*100</f>
        <v>25.5</v>
      </c>
      <c r="E32" s="51">
        <f>+E18/E11*100</f>
        <v>32.7</v>
      </c>
      <c r="F32" s="51">
        <f aca="true" t="shared" si="16" ref="F32:K32">+F18/F11*100</f>
        <v>21.4</v>
      </c>
      <c r="G32" s="51">
        <f t="shared" si="16"/>
        <v>12</v>
      </c>
      <c r="H32" s="51">
        <f t="shared" si="16"/>
        <v>18.8</v>
      </c>
      <c r="I32" s="51">
        <f t="shared" si="16"/>
        <v>22.2</v>
      </c>
      <c r="J32" s="51">
        <f t="shared" si="16"/>
        <v>20.8</v>
      </c>
      <c r="K32" s="51">
        <f t="shared" si="16"/>
        <v>17.2</v>
      </c>
      <c r="L32" s="51">
        <f aca="true" t="shared" si="17" ref="L32:Q32">+L18/L11*100</f>
        <v>15.2</v>
      </c>
      <c r="M32" s="51">
        <f t="shared" si="17"/>
        <v>-22.3</v>
      </c>
      <c r="N32" s="51">
        <f t="shared" si="17"/>
        <v>10.8</v>
      </c>
      <c r="O32" s="51">
        <f t="shared" si="17"/>
        <v>0.7</v>
      </c>
      <c r="P32" s="51">
        <f t="shared" si="17"/>
        <v>17.8</v>
      </c>
      <c r="Q32" s="51">
        <f t="shared" si="17"/>
        <v>6.2</v>
      </c>
      <c r="R32" s="51">
        <f>+R18/R11*100</f>
        <v>6.4</v>
      </c>
      <c r="S32" s="51">
        <f>+S18/S11*100</f>
        <v>8</v>
      </c>
    </row>
    <row r="33" spans="1:19" ht="17.25" customHeight="1">
      <c r="A33" s="7"/>
      <c r="B33" s="28" t="s">
        <v>63</v>
      </c>
      <c r="C33" s="51">
        <f>+C19/C18*100</f>
        <v>37.8</v>
      </c>
      <c r="D33" s="51">
        <f>+D19/D18*100</f>
        <v>21.4</v>
      </c>
      <c r="E33" s="51">
        <f>+E19/E18*100</f>
        <v>28.6</v>
      </c>
      <c r="F33" s="51">
        <f>+F19/F18*100</f>
        <v>10.4</v>
      </c>
      <c r="G33" s="51">
        <f>+G19/G18*100</f>
        <v>15.5</v>
      </c>
      <c r="H33" s="51">
        <f aca="true" t="shared" si="18" ref="H33:N33">+H19/H18*100</f>
        <v>31</v>
      </c>
      <c r="I33" s="51">
        <f t="shared" si="18"/>
        <v>22.8</v>
      </c>
      <c r="J33" s="51">
        <f t="shared" si="18"/>
        <v>28.6</v>
      </c>
      <c r="K33" s="51">
        <f t="shared" si="18"/>
        <v>25</v>
      </c>
      <c r="L33" s="51">
        <f t="shared" si="18"/>
        <v>32</v>
      </c>
      <c r="M33" s="51">
        <f t="shared" si="18"/>
        <v>39.8</v>
      </c>
      <c r="N33" s="51">
        <f t="shared" si="18"/>
        <v>24.4</v>
      </c>
      <c r="O33" s="51">
        <f>+O19/O18*100</f>
        <v>-40</v>
      </c>
      <c r="P33" s="51">
        <f>+P19/P18*100</f>
        <v>28</v>
      </c>
      <c r="Q33" s="51">
        <f>+Q19/Q18*100</f>
        <v>28.1</v>
      </c>
      <c r="R33" s="51">
        <f>+R19/R18*100</f>
        <v>27.1</v>
      </c>
      <c r="S33" s="51">
        <f>+S19/S18*100</f>
        <v>26.4</v>
      </c>
    </row>
    <row r="34" spans="1:19" ht="20.25" customHeight="1" thickBot="1">
      <c r="A34" s="7"/>
      <c r="B34" s="377" t="s">
        <v>140</v>
      </c>
      <c r="C34" s="62">
        <f>+C25/C11*100</f>
        <v>-69.3</v>
      </c>
      <c r="D34" s="62">
        <f>+D25/D11*100</f>
        <v>20</v>
      </c>
      <c r="E34" s="62">
        <f>+E25/E11*100</f>
        <v>22.9</v>
      </c>
      <c r="F34" s="62">
        <f aca="true" t="shared" si="19" ref="F34:K34">+F25/F11*100</f>
        <v>18.9</v>
      </c>
      <c r="G34" s="62">
        <f t="shared" si="19"/>
        <v>9.7</v>
      </c>
      <c r="H34" s="62">
        <f t="shared" si="19"/>
        <v>12.1</v>
      </c>
      <c r="I34" s="62">
        <f t="shared" si="19"/>
        <v>16.6</v>
      </c>
      <c r="J34" s="62">
        <f t="shared" si="19"/>
        <v>14.6</v>
      </c>
      <c r="K34" s="62">
        <f t="shared" si="19"/>
        <v>12.1</v>
      </c>
      <c r="L34" s="62">
        <f aca="true" t="shared" si="20" ref="L34:Q34">+L25/L11*100</f>
        <v>10</v>
      </c>
      <c r="M34" s="62">
        <f t="shared" si="20"/>
        <v>-14.2</v>
      </c>
      <c r="N34" s="62">
        <f t="shared" si="20"/>
        <v>7.7</v>
      </c>
      <c r="O34" s="62">
        <f t="shared" si="20"/>
        <v>0.7</v>
      </c>
      <c r="P34" s="62">
        <f t="shared" si="20"/>
        <v>12.6</v>
      </c>
      <c r="Q34" s="62">
        <f t="shared" si="20"/>
        <v>4.4</v>
      </c>
      <c r="R34" s="62">
        <f>+R25/R11*100</f>
        <v>4.6</v>
      </c>
      <c r="S34" s="62">
        <f>+S25/S11*100</f>
        <v>5.7</v>
      </c>
    </row>
    <row r="35" spans="1:19" ht="11.25" customHeight="1">
      <c r="A35" s="7"/>
      <c r="B35" s="3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7.25" customHeight="1">
      <c r="A36" s="7"/>
      <c r="B36" s="74" t="s">
        <v>64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</row>
    <row r="37" spans="1:19" ht="29.25" customHeight="1">
      <c r="A37" s="7"/>
      <c r="B37" s="247" t="s">
        <v>105</v>
      </c>
      <c r="C37" s="265">
        <v>12491</v>
      </c>
      <c r="D37" s="265">
        <v>12316</v>
      </c>
      <c r="E37" s="265">
        <v>13659</v>
      </c>
      <c r="F37" s="265">
        <v>14001</v>
      </c>
      <c r="G37" s="265">
        <v>12474</v>
      </c>
      <c r="H37" s="265">
        <v>11515</v>
      </c>
      <c r="I37" s="265">
        <v>11515</v>
      </c>
      <c r="J37" s="265">
        <v>11296</v>
      </c>
      <c r="K37" s="265">
        <v>11224</v>
      </c>
      <c r="L37" s="265">
        <v>10840</v>
      </c>
      <c r="M37" s="265">
        <v>11537</v>
      </c>
      <c r="N37" s="265">
        <v>11537</v>
      </c>
      <c r="O37" s="265">
        <v>10729</v>
      </c>
      <c r="P37" s="265">
        <v>11514</v>
      </c>
      <c r="Q37" s="265">
        <v>11008</v>
      </c>
      <c r="R37" s="265">
        <v>11377</v>
      </c>
      <c r="S37" s="265">
        <v>11377</v>
      </c>
    </row>
    <row r="38" spans="1:19" s="18" customFormat="1" ht="26.25" thickBot="1">
      <c r="A38" s="7"/>
      <c r="B38" s="117" t="s">
        <v>167</v>
      </c>
      <c r="C38" s="60" t="s">
        <v>166</v>
      </c>
      <c r="D38" s="60">
        <v>144</v>
      </c>
      <c r="E38" s="60">
        <v>87</v>
      </c>
      <c r="F38" s="60">
        <v>93</v>
      </c>
      <c r="G38" s="60">
        <v>108</v>
      </c>
      <c r="H38" s="60">
        <v>90</v>
      </c>
      <c r="I38" s="60">
        <v>102</v>
      </c>
      <c r="J38" s="60">
        <v>77</v>
      </c>
      <c r="K38" s="60">
        <v>70</v>
      </c>
      <c r="L38" s="60">
        <v>76</v>
      </c>
      <c r="M38" s="60">
        <v>77</v>
      </c>
      <c r="N38" s="60">
        <v>75</v>
      </c>
      <c r="O38" s="268">
        <v>68</v>
      </c>
      <c r="P38" s="268">
        <v>60</v>
      </c>
      <c r="Q38" s="268">
        <v>50</v>
      </c>
      <c r="R38" s="268">
        <v>43</v>
      </c>
      <c r="S38" s="60">
        <v>55</v>
      </c>
    </row>
    <row r="39" spans="1:19" ht="17.25" customHeight="1">
      <c r="A39" s="7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7.25" customHeight="1">
      <c r="A40" s="7"/>
      <c r="B40" s="13" t="s">
        <v>57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</row>
    <row r="41" spans="1:19" ht="17.25" customHeight="1">
      <c r="A41" s="7"/>
      <c r="B41" s="358" t="s">
        <v>197</v>
      </c>
      <c r="C41" s="258">
        <v>27700</v>
      </c>
      <c r="D41" s="258">
        <v>27600</v>
      </c>
      <c r="E41" s="113">
        <v>27700</v>
      </c>
      <c r="F41" s="113">
        <v>28000</v>
      </c>
      <c r="G41" s="113">
        <v>28600</v>
      </c>
      <c r="H41" s="113">
        <v>28700</v>
      </c>
      <c r="I41" s="90">
        <f>H41</f>
        <v>28700</v>
      </c>
      <c r="J41" s="113">
        <v>28600</v>
      </c>
      <c r="K41" s="113">
        <v>28600</v>
      </c>
      <c r="L41" s="113">
        <v>28400</v>
      </c>
      <c r="M41" s="113">
        <v>28100</v>
      </c>
      <c r="N41" s="90">
        <f>M41</f>
        <v>28100</v>
      </c>
      <c r="O41" s="258">
        <v>27200</v>
      </c>
      <c r="P41" s="258">
        <v>27300</v>
      </c>
      <c r="Q41" s="258">
        <v>27400</v>
      </c>
      <c r="R41" s="258">
        <v>27300</v>
      </c>
      <c r="S41" s="90">
        <f>R41</f>
        <v>27300</v>
      </c>
    </row>
    <row r="42" spans="1:19" ht="17.25" customHeight="1">
      <c r="A42" s="7"/>
      <c r="B42" s="91" t="s">
        <v>22</v>
      </c>
      <c r="C42" s="270">
        <v>19400</v>
      </c>
      <c r="D42" s="262">
        <v>19200</v>
      </c>
      <c r="E42" s="390">
        <v>19800</v>
      </c>
      <c r="F42" s="390">
        <v>20300</v>
      </c>
      <c r="G42" s="390">
        <v>21000</v>
      </c>
      <c r="H42" s="390">
        <v>20500</v>
      </c>
      <c r="I42" s="136">
        <f>H42</f>
        <v>20500</v>
      </c>
      <c r="J42" s="390">
        <v>20600</v>
      </c>
      <c r="K42" s="390">
        <v>21200</v>
      </c>
      <c r="L42" s="390">
        <v>21400</v>
      </c>
      <c r="M42" s="390">
        <v>20700</v>
      </c>
      <c r="N42" s="136">
        <f>M42</f>
        <v>20700</v>
      </c>
      <c r="O42" s="262">
        <v>20600</v>
      </c>
      <c r="P42" s="262">
        <v>20000</v>
      </c>
      <c r="Q42" s="262">
        <v>20100</v>
      </c>
      <c r="R42" s="262">
        <v>19800</v>
      </c>
      <c r="S42" s="136">
        <f>R42</f>
        <v>19800</v>
      </c>
    </row>
    <row r="43" spans="1:19" ht="17.25" customHeight="1">
      <c r="A43" s="7"/>
      <c r="B43" s="27" t="s">
        <v>24</v>
      </c>
      <c r="C43" s="271">
        <v>700</v>
      </c>
      <c r="D43" s="271">
        <v>800</v>
      </c>
      <c r="E43" s="109">
        <v>800</v>
      </c>
      <c r="F43" s="109">
        <v>900</v>
      </c>
      <c r="G43" s="109">
        <v>900</v>
      </c>
      <c r="H43" s="109">
        <v>900</v>
      </c>
      <c r="I43" s="53">
        <f>H43</f>
        <v>900</v>
      </c>
      <c r="J43" s="109">
        <v>900</v>
      </c>
      <c r="K43" s="109">
        <v>900</v>
      </c>
      <c r="L43" s="109">
        <v>900</v>
      </c>
      <c r="M43" s="109">
        <v>900</v>
      </c>
      <c r="N43" s="53">
        <f>M43</f>
        <v>900</v>
      </c>
      <c r="O43" s="271">
        <v>900</v>
      </c>
      <c r="P43" s="271">
        <v>900</v>
      </c>
      <c r="Q43" s="271">
        <v>900</v>
      </c>
      <c r="R43" s="271">
        <v>300</v>
      </c>
      <c r="S43" s="53">
        <f>R43</f>
        <v>300</v>
      </c>
    </row>
    <row r="44" spans="1:19" ht="17.25" customHeight="1" thickBot="1">
      <c r="A44" s="7"/>
      <c r="B44" s="26" t="s">
        <v>58</v>
      </c>
      <c r="C44" s="80">
        <f aca="true" t="shared" si="21" ref="C44:S44">SUM(C41:C43)</f>
        <v>47800</v>
      </c>
      <c r="D44" s="80">
        <f t="shared" si="21"/>
        <v>47600</v>
      </c>
      <c r="E44" s="80">
        <f t="shared" si="21"/>
        <v>48300</v>
      </c>
      <c r="F44" s="80">
        <f t="shared" si="21"/>
        <v>49200</v>
      </c>
      <c r="G44" s="80">
        <f t="shared" si="21"/>
        <v>50500</v>
      </c>
      <c r="H44" s="80">
        <f t="shared" si="21"/>
        <v>50100</v>
      </c>
      <c r="I44" s="80">
        <f>SUM(I41:I43)</f>
        <v>50100</v>
      </c>
      <c r="J44" s="80">
        <f t="shared" si="21"/>
        <v>50100</v>
      </c>
      <c r="K44" s="80">
        <f t="shared" si="21"/>
        <v>50700</v>
      </c>
      <c r="L44" s="80">
        <f t="shared" si="21"/>
        <v>50700</v>
      </c>
      <c r="M44" s="80">
        <f t="shared" si="21"/>
        <v>49700</v>
      </c>
      <c r="N44" s="80">
        <f t="shared" si="21"/>
        <v>49700</v>
      </c>
      <c r="O44" s="80">
        <f t="shared" si="21"/>
        <v>48700</v>
      </c>
      <c r="P44" s="80">
        <f t="shared" si="21"/>
        <v>48200</v>
      </c>
      <c r="Q44" s="80">
        <f t="shared" si="21"/>
        <v>48400</v>
      </c>
      <c r="R44" s="80">
        <f t="shared" si="21"/>
        <v>47400</v>
      </c>
      <c r="S44" s="80">
        <f t="shared" si="21"/>
        <v>47400</v>
      </c>
    </row>
    <row r="45" spans="1:19" ht="11.25" customHeight="1">
      <c r="A45" s="7"/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7.2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7.25" customHeight="1">
      <c r="A47" s="7"/>
      <c r="B47" s="3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spans="1:19" ht="17.25" customHeight="1">
      <c r="A48" s="195" t="str">
        <f>+'Credit Suisse'!A78</f>
        <v>1)</v>
      </c>
      <c r="B48" s="286" t="str">
        <f>+'Credit Suisse'!B78</f>
        <v>Based on amounts attributable to shareholders.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ht="11.25" customHeight="1"/>
    <row r="51" ht="17.25" customHeight="1">
      <c r="H51" s="140"/>
    </row>
    <row r="52" ht="17.25" customHeight="1">
      <c r="H52" s="140"/>
    </row>
    <row r="57" ht="13.5" customHeight="1"/>
    <row r="73" ht="11.25" customHeight="1"/>
  </sheetData>
  <sheetProtection/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6.7109375" style="1" customWidth="1"/>
    <col min="3" max="19" width="11.57421875" style="1" customWidth="1"/>
    <col min="20" max="16384" width="1.7109375" style="1" customWidth="1"/>
  </cols>
  <sheetData>
    <row r="1" spans="1:19" ht="21.75" customHeight="1">
      <c r="A1" s="2"/>
      <c r="B1" s="408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7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75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7"/>
      <c r="B6" s="13" t="s">
        <v>76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</row>
    <row r="7" spans="1:19" s="18" customFormat="1" ht="17.25" customHeight="1">
      <c r="A7" s="7"/>
      <c r="B7" s="14" t="s">
        <v>65</v>
      </c>
      <c r="C7" s="255">
        <v>9340</v>
      </c>
      <c r="D7" s="255">
        <v>8324</v>
      </c>
      <c r="E7" s="284">
        <v>2036</v>
      </c>
      <c r="F7" s="284">
        <v>2068</v>
      </c>
      <c r="G7" s="284">
        <v>1904</v>
      </c>
      <c r="H7" s="285">
        <v>1926</v>
      </c>
      <c r="I7" s="46">
        <f>SUM(E7:H7)</f>
        <v>7934</v>
      </c>
      <c r="J7" s="285">
        <v>2047</v>
      </c>
      <c r="K7" s="323">
        <v>1911</v>
      </c>
      <c r="L7" s="285">
        <v>1874</v>
      </c>
      <c r="M7" s="285">
        <v>1758</v>
      </c>
      <c r="N7" s="46">
        <f>SUM(J7:M7)</f>
        <v>7590</v>
      </c>
      <c r="O7" s="272">
        <v>1928</v>
      </c>
      <c r="P7" s="272">
        <v>1933</v>
      </c>
      <c r="Q7" s="272">
        <v>1794</v>
      </c>
      <c r="R7" s="272">
        <v>1800</v>
      </c>
      <c r="S7" s="46">
        <f>SUM(O7:R7)</f>
        <v>7455</v>
      </c>
    </row>
    <row r="8" spans="1:19" s="18" customFormat="1" ht="17.25" customHeight="1">
      <c r="A8" s="7"/>
      <c r="B8" s="16" t="s">
        <v>67</v>
      </c>
      <c r="C8" s="254">
        <v>-1287</v>
      </c>
      <c r="D8" s="254">
        <v>9999</v>
      </c>
      <c r="E8" s="284">
        <v>2423</v>
      </c>
      <c r="F8" s="284">
        <v>1984</v>
      </c>
      <c r="G8" s="284">
        <v>1700</v>
      </c>
      <c r="H8" s="285">
        <v>1611</v>
      </c>
      <c r="I8" s="48">
        <f>SUM(E8:H8)</f>
        <v>7718</v>
      </c>
      <c r="J8" s="285">
        <v>2077</v>
      </c>
      <c r="K8" s="323">
        <v>1696</v>
      </c>
      <c r="L8" s="285">
        <v>1534</v>
      </c>
      <c r="M8" s="285">
        <v>1213</v>
      </c>
      <c r="N8" s="48">
        <f>SUM(J8:M8)</f>
        <v>6520</v>
      </c>
      <c r="O8" s="272">
        <v>2031</v>
      </c>
      <c r="P8" s="272">
        <v>1705</v>
      </c>
      <c r="Q8" s="272">
        <v>1670</v>
      </c>
      <c r="R8" s="272">
        <v>1343</v>
      </c>
      <c r="S8" s="48">
        <f>SUM(O8:R8)</f>
        <v>6749</v>
      </c>
    </row>
    <row r="9" spans="1:19" s="18" customFormat="1" ht="17.25" customHeight="1">
      <c r="A9" s="7"/>
      <c r="B9" s="16" t="s">
        <v>148</v>
      </c>
      <c r="C9" s="254">
        <v>-1897</v>
      </c>
      <c r="D9" s="254">
        <v>12996</v>
      </c>
      <c r="E9" s="284">
        <v>3573</v>
      </c>
      <c r="F9" s="284">
        <v>2762</v>
      </c>
      <c r="G9" s="284">
        <v>2683</v>
      </c>
      <c r="H9" s="285">
        <v>2708</v>
      </c>
      <c r="I9" s="48">
        <f>SUM(E9:H9)</f>
        <v>11726</v>
      </c>
      <c r="J9" s="285">
        <v>3505</v>
      </c>
      <c r="K9" s="323">
        <v>1892</v>
      </c>
      <c r="L9" s="285">
        <v>1120</v>
      </c>
      <c r="M9" s="285">
        <v>755</v>
      </c>
      <c r="N9" s="48">
        <f>SUM(J9:M9)</f>
        <v>7272</v>
      </c>
      <c r="O9" s="272">
        <v>2618</v>
      </c>
      <c r="P9" s="272">
        <v>2000</v>
      </c>
      <c r="Q9" s="272">
        <v>2540</v>
      </c>
      <c r="R9" s="272">
        <v>2349</v>
      </c>
      <c r="S9" s="48">
        <f>SUM(O9:R9)</f>
        <v>9507</v>
      </c>
    </row>
    <row r="10" spans="1:19" s="18" customFormat="1" ht="17.25" customHeight="1">
      <c r="A10" s="7"/>
      <c r="B10" s="16" t="s">
        <v>74</v>
      </c>
      <c r="C10" s="254">
        <v>371</v>
      </c>
      <c r="D10" s="254">
        <v>3439</v>
      </c>
      <c r="E10" s="284">
        <v>805</v>
      </c>
      <c r="F10" s="284">
        <v>712</v>
      </c>
      <c r="G10" s="284">
        <v>762</v>
      </c>
      <c r="H10" s="285">
        <v>796</v>
      </c>
      <c r="I10" s="48">
        <f>SUM(E10:H10)</f>
        <v>3075</v>
      </c>
      <c r="J10" s="285">
        <v>916</v>
      </c>
      <c r="K10" s="323">
        <v>654</v>
      </c>
      <c r="L10" s="285">
        <v>546</v>
      </c>
      <c r="M10" s="285">
        <v>409</v>
      </c>
      <c r="N10" s="48">
        <f>SUM(J10:M10)</f>
        <v>2525</v>
      </c>
      <c r="O10" s="272">
        <v>867</v>
      </c>
      <c r="P10" s="272">
        <v>525</v>
      </c>
      <c r="Q10" s="272">
        <v>490</v>
      </c>
      <c r="R10" s="272">
        <v>506</v>
      </c>
      <c r="S10" s="48">
        <f>SUM(O10:R10)</f>
        <v>2388</v>
      </c>
    </row>
    <row r="11" spans="1:19" s="18" customFormat="1" ht="17.25" customHeight="1" thickBot="1">
      <c r="A11" s="7"/>
      <c r="B11" s="16" t="s">
        <v>24</v>
      </c>
      <c r="C11" s="48">
        <f>+'Corporate Center'!C7</f>
        <v>5335</v>
      </c>
      <c r="D11" s="48">
        <f>+'Corporate Center'!D7</f>
        <v>-1141</v>
      </c>
      <c r="E11" s="48">
        <f>+'Corporate Center'!E7</f>
        <v>124</v>
      </c>
      <c r="F11" s="48">
        <f>+'Corporate Center'!F7</f>
        <v>894</v>
      </c>
      <c r="G11" s="48">
        <f>+'Corporate Center'!G7</f>
        <v>-765</v>
      </c>
      <c r="H11" s="48">
        <f>+'Corporate Center'!H7</f>
        <v>-81</v>
      </c>
      <c r="I11" s="48">
        <f>+'Corporate Center'!I7</f>
        <v>172</v>
      </c>
      <c r="J11" s="48">
        <f>+'Corporate Center'!J7</f>
        <v>-732</v>
      </c>
      <c r="K11" s="324">
        <f>+'Corporate Center'!K7</f>
        <v>173</v>
      </c>
      <c r="L11" s="48">
        <f>+'Corporate Center'!L7</f>
        <v>1743</v>
      </c>
      <c r="M11" s="48">
        <f>+'Corporate Center'!M7</f>
        <v>338</v>
      </c>
      <c r="N11" s="48">
        <f>+'Corporate Center'!N7</f>
        <v>1522</v>
      </c>
      <c r="O11" s="48">
        <f>+'Corporate Center'!O7</f>
        <v>-1566</v>
      </c>
      <c r="P11" s="48">
        <f>'Corporate Center'!P7</f>
        <v>78</v>
      </c>
      <c r="Q11" s="48">
        <f>'Corporate Center'!Q7</f>
        <v>-728</v>
      </c>
      <c r="R11" s="48">
        <f>'Corporate Center'!R7</f>
        <v>-277</v>
      </c>
      <c r="S11" s="48">
        <f>+'Corporate Center'!S7</f>
        <v>-2493</v>
      </c>
    </row>
    <row r="12" spans="1:19" ht="17.25" customHeight="1" thickBot="1">
      <c r="A12" s="7"/>
      <c r="B12" s="23" t="s">
        <v>77</v>
      </c>
      <c r="C12" s="41">
        <f>IF(SUM(C7+C8+C9+C10+C11)='Core Results'!C11,SUM(C7+C8+C9+C10+C11),"Error")</f>
        <v>11862</v>
      </c>
      <c r="D12" s="41">
        <f>IF(SUM(D7+D8+D9+D10+D11)='Core Results'!D11,SUM(D7+D8+D9+D10+D11),"Error")</f>
        <v>33617</v>
      </c>
      <c r="E12" s="41">
        <f>IF(SUM(E7+E8+E9+E10+E11)='Core Results'!E11,SUM(E7+E8+E9+E10+E11),"Error")</f>
        <v>8961</v>
      </c>
      <c r="F12" s="41">
        <f>IF(SUM(F7+F8+F9+F10+F11)='Core Results'!F11,SUM(F7+F8+F9+F10+F11),"Error")</f>
        <v>8420</v>
      </c>
      <c r="G12" s="41">
        <f>IF(SUM(G7+G8+G9+G10+G11)='Core Results'!G11,SUM(G7+G8+G9+G10+G11),"Error")</f>
        <v>6284</v>
      </c>
      <c r="H12" s="41">
        <f>IF(SUM(H7+H8+H9+H10+H11)='Core Results'!H11,SUM(H7+H8+H9+H10+H11),"Error")</f>
        <v>6960</v>
      </c>
      <c r="I12" s="41">
        <f>IF(SUM(E12+F12+G12+H12)='Core Results'!I11,SUM(E12+F12+G12+H12),"Error")</f>
        <v>30625</v>
      </c>
      <c r="J12" s="41">
        <f>IF(SUM(J7:J11)='Core Results'!J11,SUM(J7:J11),"Error")</f>
        <v>7813</v>
      </c>
      <c r="K12" s="325">
        <f>IF(SUM(K7:K11)='Core Results'!K11,SUM(K7:K11),"Error")</f>
        <v>6326</v>
      </c>
      <c r="L12" s="41">
        <f>IF(SUM(L7:L11)='Core Results'!L11,SUM(L7:L11),"Error")</f>
        <v>6817</v>
      </c>
      <c r="M12" s="41">
        <f>IF(SUM(M7:M11)='Core Results'!M11,SUM(M7:M11),"Error")</f>
        <v>4473</v>
      </c>
      <c r="N12" s="41">
        <f>IF(SUM(J12+K12+L12+M12)='Core Results'!N11,SUM(J12+K12+L12+M12),"Error")</f>
        <v>25429</v>
      </c>
      <c r="O12" s="41">
        <f>IF(SUM(O7:O11)='Core Results'!O11,SUM(O7:O11),"Error")</f>
        <v>5878</v>
      </c>
      <c r="P12" s="41">
        <f>IF(SUM(P7:P11)='Core Results'!P11,SUM(P7:P11),"Error")</f>
        <v>6241</v>
      </c>
      <c r="Q12" s="41">
        <f>IF(SUM(Q7:Q11)='Core Results'!Q11,SUM(Q7:Q11),"Error")</f>
        <v>5766</v>
      </c>
      <c r="R12" s="41">
        <f>IF(SUM(R7:R11)='Core Results'!R11,SUM(R7:R11),"Error")</f>
        <v>5721</v>
      </c>
      <c r="S12" s="41">
        <f>IF(SUM(O12+P12+Q12+R12)='Core Results'!S11,SUM(O12+P12+Q12+R12),"Error")</f>
        <v>23606</v>
      </c>
    </row>
    <row r="13" spans="1:19" ht="17.25" customHeight="1">
      <c r="A13" s="7"/>
      <c r="B13" s="11"/>
      <c r="C13" s="15"/>
      <c r="D13" s="15"/>
      <c r="E13" s="15"/>
      <c r="F13" s="15"/>
      <c r="G13" s="15"/>
      <c r="H13" s="15"/>
      <c r="I13" s="15"/>
      <c r="J13" s="15"/>
      <c r="K13" s="326"/>
      <c r="L13" s="15"/>
      <c r="M13" s="15"/>
      <c r="N13" s="15"/>
      <c r="O13" s="15"/>
      <c r="P13" s="15"/>
      <c r="Q13" s="15"/>
      <c r="R13" s="15"/>
      <c r="S13" s="15"/>
    </row>
    <row r="14" spans="1:19" ht="17.25" customHeight="1">
      <c r="A14" s="7"/>
      <c r="B14" s="13" t="s">
        <v>129</v>
      </c>
      <c r="C14" s="15"/>
      <c r="D14" s="15"/>
      <c r="E14" s="131"/>
      <c r="F14" s="131"/>
      <c r="G14" s="131"/>
      <c r="H14" s="131"/>
      <c r="I14" s="15"/>
      <c r="J14" s="131"/>
      <c r="K14" s="327"/>
      <c r="L14" s="131"/>
      <c r="M14" s="131"/>
      <c r="N14" s="15"/>
      <c r="O14" s="131"/>
      <c r="P14" s="131"/>
      <c r="Q14" s="131"/>
      <c r="R14" s="131"/>
      <c r="S14" s="15"/>
    </row>
    <row r="15" spans="1:19" s="18" customFormat="1" ht="17.25" customHeight="1">
      <c r="A15" s="7"/>
      <c r="B15" s="14" t="s">
        <v>65</v>
      </c>
      <c r="C15" s="253">
        <v>3995</v>
      </c>
      <c r="D15" s="253">
        <v>3146</v>
      </c>
      <c r="E15" s="284">
        <v>735</v>
      </c>
      <c r="F15" s="284">
        <v>741</v>
      </c>
      <c r="G15" s="284">
        <v>669</v>
      </c>
      <c r="H15" s="285">
        <v>630</v>
      </c>
      <c r="I15" s="47">
        <f>SUM(E15:H15)</f>
        <v>2775</v>
      </c>
      <c r="J15" s="285">
        <v>713</v>
      </c>
      <c r="K15" s="323">
        <v>654</v>
      </c>
      <c r="L15" s="285">
        <v>604</v>
      </c>
      <c r="M15" s="285">
        <v>436</v>
      </c>
      <c r="N15" s="47">
        <f>SUM(J15:M15)</f>
        <v>2407</v>
      </c>
      <c r="O15" s="272">
        <v>667</v>
      </c>
      <c r="P15" s="272">
        <v>738</v>
      </c>
      <c r="Q15" s="272">
        <v>562</v>
      </c>
      <c r="R15" s="272">
        <v>569</v>
      </c>
      <c r="S15" s="47">
        <f>SUM(O15:R15)</f>
        <v>2536</v>
      </c>
    </row>
    <row r="16" spans="1:19" s="18" customFormat="1" ht="17.25" customHeight="1">
      <c r="A16" s="7"/>
      <c r="B16" s="16" t="s">
        <v>67</v>
      </c>
      <c r="C16" s="254">
        <v>-8283</v>
      </c>
      <c r="D16" s="254">
        <v>2915</v>
      </c>
      <c r="E16" s="284">
        <v>648</v>
      </c>
      <c r="F16" s="284">
        <v>200</v>
      </c>
      <c r="G16" s="284">
        <v>78</v>
      </c>
      <c r="H16" s="285">
        <v>-169</v>
      </c>
      <c r="I16" s="48">
        <f>SUM(E16:H16)</f>
        <v>757</v>
      </c>
      <c r="J16" s="285">
        <v>348</v>
      </c>
      <c r="K16" s="323">
        <v>97</v>
      </c>
      <c r="L16" s="285">
        <v>-159</v>
      </c>
      <c r="M16" s="285">
        <v>-242</v>
      </c>
      <c r="N16" s="48">
        <f>SUM(J16:M16)</f>
        <v>44</v>
      </c>
      <c r="O16" s="272">
        <v>391</v>
      </c>
      <c r="P16" s="272">
        <v>227</v>
      </c>
      <c r="Q16" s="272">
        <v>270</v>
      </c>
      <c r="R16" s="272">
        <v>-6</v>
      </c>
      <c r="S16" s="48">
        <f>SUM(O16:R16)</f>
        <v>882</v>
      </c>
    </row>
    <row r="17" spans="1:19" s="18" customFormat="1" ht="17.25" customHeight="1">
      <c r="A17" s="7"/>
      <c r="B17" s="16" t="s">
        <v>148</v>
      </c>
      <c r="C17" s="254">
        <v>-9535</v>
      </c>
      <c r="D17" s="254">
        <v>4404</v>
      </c>
      <c r="E17" s="284">
        <v>1444</v>
      </c>
      <c r="F17" s="284">
        <v>665</v>
      </c>
      <c r="G17" s="284">
        <v>720</v>
      </c>
      <c r="H17" s="285">
        <v>1044</v>
      </c>
      <c r="I17" s="48">
        <f>SUM(E17:H17)</f>
        <v>3873</v>
      </c>
      <c r="J17" s="285">
        <v>1250</v>
      </c>
      <c r="K17" s="323">
        <v>390</v>
      </c>
      <c r="L17" s="285">
        <v>-774</v>
      </c>
      <c r="M17" s="285">
        <v>-860</v>
      </c>
      <c r="N17" s="48">
        <f>SUM(J17:M17)</f>
        <v>6</v>
      </c>
      <c r="O17" s="272">
        <v>619</v>
      </c>
      <c r="P17" s="272">
        <v>419</v>
      </c>
      <c r="Q17" s="272">
        <v>747</v>
      </c>
      <c r="R17" s="272">
        <v>725</v>
      </c>
      <c r="S17" s="48">
        <f>SUM(O17:R17)</f>
        <v>2510</v>
      </c>
    </row>
    <row r="18" spans="1:19" s="18" customFormat="1" ht="17.25" customHeight="1">
      <c r="A18" s="7"/>
      <c r="B18" s="16" t="s">
        <v>74</v>
      </c>
      <c r="C18" s="254">
        <v>-2345</v>
      </c>
      <c r="D18" s="254">
        <v>783</v>
      </c>
      <c r="E18" s="284">
        <v>115</v>
      </c>
      <c r="F18" s="284">
        <v>8</v>
      </c>
      <c r="G18" s="284">
        <v>119</v>
      </c>
      <c r="H18" s="285">
        <v>89</v>
      </c>
      <c r="I18" s="48">
        <f>SUM(E18:H18)</f>
        <v>331</v>
      </c>
      <c r="J18" s="285">
        <v>188</v>
      </c>
      <c r="K18" s="323">
        <v>40</v>
      </c>
      <c r="L18" s="285">
        <v>-87</v>
      </c>
      <c r="M18" s="285">
        <v>-230</v>
      </c>
      <c r="N18" s="48">
        <f>SUM(J18:M18)</f>
        <v>-89</v>
      </c>
      <c r="O18" s="272">
        <v>181</v>
      </c>
      <c r="P18" s="272">
        <v>-93</v>
      </c>
      <c r="Q18" s="272">
        <v>-160</v>
      </c>
      <c r="R18" s="272">
        <v>-79</v>
      </c>
      <c r="S18" s="48">
        <f>SUM(O18:R18)</f>
        <v>-151</v>
      </c>
    </row>
    <row r="19" spans="1:19" s="18" customFormat="1" ht="17.25" customHeight="1" thickBot="1">
      <c r="A19" s="7"/>
      <c r="B19" s="16" t="s">
        <v>24</v>
      </c>
      <c r="C19" s="48">
        <f>+'Corporate Center'!C14</f>
        <v>4005</v>
      </c>
      <c r="D19" s="48">
        <f>+'Corporate Center'!D14</f>
        <v>-2665</v>
      </c>
      <c r="E19" s="48">
        <f>+'Corporate Center'!E14</f>
        <v>-8</v>
      </c>
      <c r="F19" s="48">
        <f>+'Corporate Center'!F14</f>
        <v>192</v>
      </c>
      <c r="G19" s="48">
        <f>+'Corporate Center'!G14</f>
        <v>-833</v>
      </c>
      <c r="H19" s="48">
        <f>+'Corporate Center'!H14</f>
        <v>-287</v>
      </c>
      <c r="I19" s="48">
        <f>+'Corporate Center'!I14</f>
        <v>-936</v>
      </c>
      <c r="J19" s="48">
        <f>+'Corporate Center'!J14</f>
        <v>-874</v>
      </c>
      <c r="K19" s="48">
        <f>+'Corporate Center'!K14</f>
        <v>-95</v>
      </c>
      <c r="L19" s="48">
        <f>+'Corporate Center'!L14</f>
        <v>1452</v>
      </c>
      <c r="M19" s="48">
        <f>+'Corporate Center'!M14</f>
        <v>-102</v>
      </c>
      <c r="N19" s="48">
        <f>+'Corporate Center'!N14</f>
        <v>381</v>
      </c>
      <c r="O19" s="48">
        <f>+'Corporate Center'!O14</f>
        <v>-1818</v>
      </c>
      <c r="P19" s="48">
        <f>+'Corporate Center'!P14</f>
        <v>-180</v>
      </c>
      <c r="Q19" s="48">
        <f>+'Corporate Center'!Q14</f>
        <v>-1060</v>
      </c>
      <c r="R19" s="48">
        <f>+'Corporate Center'!R14</f>
        <v>-840</v>
      </c>
      <c r="S19" s="48">
        <f>+'Corporate Center'!S14</f>
        <v>-3898</v>
      </c>
    </row>
    <row r="20" spans="1:19" ht="28.5" customHeight="1" thickBot="1">
      <c r="A20" s="7"/>
      <c r="B20" s="115" t="s">
        <v>81</v>
      </c>
      <c r="C20" s="41">
        <f>IF(SUM(C15+C16+C17+C18+C19)='Core Results'!C18,SUM(C15+C16+C17+C18+C19),"Error")</f>
        <v>-12163</v>
      </c>
      <c r="D20" s="41">
        <f>IF(SUM(D15:D19)='Core Results'!D18,SUM(D15:D19),"Error")</f>
        <v>8583</v>
      </c>
      <c r="E20" s="41">
        <f>IF(SUM(E15:E19)='Core Results'!E18,SUM(E15:E19),"Error")</f>
        <v>2934</v>
      </c>
      <c r="F20" s="41">
        <f>IF(SUM(F15:F19)='Core Results'!F18,SUM(F15:F19),"Error")</f>
        <v>1806</v>
      </c>
      <c r="G20" s="41">
        <f>IF(SUM(G15:G19)='Core Results'!G18,SUM(G15:G19),"Error")</f>
        <v>753</v>
      </c>
      <c r="H20" s="41">
        <f>IF(SUM(H15:H19)='Core Results'!H18,SUM(H15:H19),"Error")</f>
        <v>1307</v>
      </c>
      <c r="I20" s="41">
        <f>IF(SUM(E20+F20+G20+H20)='Core Results'!I18,SUM(E20+F20+G20+H20),"Error")</f>
        <v>6800</v>
      </c>
      <c r="J20" s="41">
        <f>IF(SUM(J15:J19)='Core Results'!J18,SUM(J15:J19),"Error")</f>
        <v>1625</v>
      </c>
      <c r="K20" s="41">
        <f>IF(SUM(K15:K19)='Core Results'!K18,SUM(K15:K19),"Error")</f>
        <v>1086</v>
      </c>
      <c r="L20" s="41">
        <f>IF(SUM(L15:L19)='Core Results'!L18,SUM(L15:L19),"Error")</f>
        <v>1036</v>
      </c>
      <c r="M20" s="41">
        <f>IF(SUM(M15:M19)='Core Results'!M18,SUM(M15:M19),"Error")</f>
        <v>-998</v>
      </c>
      <c r="N20" s="41">
        <f>IF(SUM(J20+K20+L20+M20)='Core Results'!N18,SUM(J20+K20+L20+M20),"Error")</f>
        <v>2749</v>
      </c>
      <c r="O20" s="41">
        <f>IF(SUM(O15:O19)='Core Results'!O18,SUM(O15:O19),"Error")</f>
        <v>40</v>
      </c>
      <c r="P20" s="41">
        <f>IF(SUM(P15:P19)='Core Results'!P18,SUM(P15:P19),"Error")</f>
        <v>1111</v>
      </c>
      <c r="Q20" s="41">
        <f>IF(SUM(Q15:Q19)='Core Results'!Q18,SUM(Q15:Q19),"Error")</f>
        <v>359</v>
      </c>
      <c r="R20" s="41">
        <f>IF(SUM(R15:R19)='Core Results'!R18,SUM(R15:R19),"Error")</f>
        <v>369</v>
      </c>
      <c r="S20" s="41">
        <f>IF(SUM(O20+P20+Q20+R20)='Core Results'!S18,SUM(O20+P20+Q20+R20),"Error")</f>
        <v>1879</v>
      </c>
    </row>
    <row r="21" spans="1:19" ht="11.25" customHeight="1">
      <c r="A21" s="7"/>
      <c r="B21" s="3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7.25" customHeight="1">
      <c r="A22" s="34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7.25" customHeight="1">
      <c r="A23" s="7"/>
      <c r="B23" s="3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s="18" customFormat="1" ht="17.25" customHeight="1">
      <c r="A24" s="195"/>
      <c r="B24" s="286" t="s">
        <v>207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N12 C20:N20">
    <cfRule type="cellIs" priority="6" dxfId="0" operator="equal" stopIfTrue="1">
      <formula>"Error"</formula>
    </cfRule>
  </conditionalFormatting>
  <conditionalFormatting sqref="O12 O20">
    <cfRule type="cellIs" priority="5" dxfId="0" operator="equal" stopIfTrue="1">
      <formula>"Error"</formula>
    </cfRule>
  </conditionalFormatting>
  <conditionalFormatting sqref="P12 P20">
    <cfRule type="cellIs" priority="4" dxfId="0" operator="equal" stopIfTrue="1">
      <formula>"Error"</formula>
    </cfRule>
  </conditionalFormatting>
  <conditionalFormatting sqref="Q12 Q20">
    <cfRule type="cellIs" priority="3" dxfId="0" operator="equal" stopIfTrue="1">
      <formula>"Error"</formula>
    </cfRule>
  </conditionalFormatting>
  <conditionalFormatting sqref="R12 R20">
    <cfRule type="cellIs" priority="2" dxfId="0" operator="equal" stopIfTrue="1">
      <formula>"Error"</formula>
    </cfRule>
  </conditionalFormatting>
  <conditionalFormatting sqref="S12 S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00390625" style="1" customWidth="1"/>
    <col min="3" max="24" width="11.57421875" style="1" customWidth="1"/>
    <col min="25" max="16384" width="1.7109375" style="1" customWidth="1"/>
  </cols>
  <sheetData>
    <row r="1" spans="1:19" ht="26.25" customHeight="1">
      <c r="A1" s="2"/>
      <c r="B1" s="408" t="s">
        <v>178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18" customFormat="1" ht="17.25" customHeight="1" thickTop="1">
      <c r="A5" s="7"/>
      <c r="B5" s="32"/>
      <c r="C5" s="128"/>
      <c r="D5" s="128"/>
      <c r="E5" s="45"/>
      <c r="F5" s="45"/>
      <c r="G5" s="45"/>
      <c r="H5" s="128"/>
      <c r="I5" s="128"/>
      <c r="J5" s="45"/>
      <c r="K5" s="45"/>
      <c r="L5" s="45"/>
      <c r="M5" s="45"/>
      <c r="N5" s="128"/>
      <c r="O5" s="45"/>
      <c r="P5" s="45"/>
      <c r="Q5" s="45"/>
      <c r="R5" s="45"/>
      <c r="S5" s="128"/>
    </row>
    <row r="6" spans="1:19" ht="17.25" customHeight="1">
      <c r="A6" s="7"/>
      <c r="B6" s="13" t="s">
        <v>95</v>
      </c>
      <c r="C6" s="129"/>
      <c r="D6" s="129"/>
      <c r="E6" s="15"/>
      <c r="F6" s="15"/>
      <c r="G6" s="15"/>
      <c r="H6" s="129"/>
      <c r="I6" s="129"/>
      <c r="J6" s="15"/>
      <c r="K6" s="15"/>
      <c r="L6" s="15"/>
      <c r="M6" s="15"/>
      <c r="N6" s="129"/>
      <c r="O6" s="15"/>
      <c r="P6" s="15"/>
      <c r="Q6" s="15"/>
      <c r="R6" s="15"/>
      <c r="S6" s="129"/>
    </row>
    <row r="7" spans="1:19" ht="17.25" customHeight="1" thickBot="1">
      <c r="A7" s="7"/>
      <c r="B7" s="26" t="s">
        <v>11</v>
      </c>
      <c r="C7" s="171">
        <v>14091</v>
      </c>
      <c r="D7" s="171">
        <v>14593</v>
      </c>
      <c r="E7" s="171">
        <v>3756</v>
      </c>
      <c r="F7" s="171">
        <v>3683</v>
      </c>
      <c r="G7" s="171">
        <v>3537</v>
      </c>
      <c r="H7" s="171">
        <v>3604</v>
      </c>
      <c r="I7" s="172">
        <f>SUM(E7:H7)</f>
        <v>14580</v>
      </c>
      <c r="J7" s="171">
        <v>3669</v>
      </c>
      <c r="K7" s="171">
        <v>3481</v>
      </c>
      <c r="L7" s="171">
        <v>3210</v>
      </c>
      <c r="M7" s="171">
        <v>3087</v>
      </c>
      <c r="N7" s="172">
        <f>SUM(J7:M7)</f>
        <v>13447</v>
      </c>
      <c r="O7" s="171">
        <v>3485</v>
      </c>
      <c r="P7" s="171">
        <v>3412</v>
      </c>
      <c r="Q7" s="171">
        <v>3310</v>
      </c>
      <c r="R7" s="171">
        <v>3334</v>
      </c>
      <c r="S7" s="172">
        <f>SUM(O7:R7)</f>
        <v>13541</v>
      </c>
    </row>
    <row r="8" spans="1:19" s="18" customFormat="1" ht="17.25" customHeight="1" thickBot="1">
      <c r="A8" s="7"/>
      <c r="B8" s="26" t="s">
        <v>12</v>
      </c>
      <c r="C8" s="171">
        <v>132</v>
      </c>
      <c r="D8" s="171">
        <v>177</v>
      </c>
      <c r="E8" s="171">
        <v>18</v>
      </c>
      <c r="F8" s="171">
        <v>3</v>
      </c>
      <c r="G8" s="171">
        <v>-8</v>
      </c>
      <c r="H8" s="171">
        <v>4</v>
      </c>
      <c r="I8" s="172">
        <f>SUM(E8:H8)</f>
        <v>17</v>
      </c>
      <c r="J8" s="171">
        <v>12</v>
      </c>
      <c r="K8" s="171">
        <v>-2</v>
      </c>
      <c r="L8" s="171">
        <v>27</v>
      </c>
      <c r="M8" s="171">
        <v>74</v>
      </c>
      <c r="N8" s="172">
        <f>SUM(J8:M8)</f>
        <v>111</v>
      </c>
      <c r="O8" s="171">
        <v>39</v>
      </c>
      <c r="P8" s="171">
        <v>40</v>
      </c>
      <c r="Q8" s="171">
        <v>35</v>
      </c>
      <c r="R8" s="171">
        <v>68</v>
      </c>
      <c r="S8" s="172">
        <f>SUM(O8:R8)</f>
        <v>182</v>
      </c>
    </row>
    <row r="9" spans="1:19" ht="17.25" customHeight="1">
      <c r="A9" s="7"/>
      <c r="B9" s="28" t="s">
        <v>13</v>
      </c>
      <c r="C9" s="389">
        <v>5495</v>
      </c>
      <c r="D9" s="389">
        <v>5960</v>
      </c>
      <c r="E9" s="148">
        <v>1537</v>
      </c>
      <c r="F9" s="148">
        <v>1564</v>
      </c>
      <c r="G9" s="148">
        <v>1455</v>
      </c>
      <c r="H9" s="148">
        <v>1485</v>
      </c>
      <c r="I9" s="313">
        <f>SUM(E9:H9)</f>
        <v>6041</v>
      </c>
      <c r="J9" s="148">
        <v>1554</v>
      </c>
      <c r="K9" s="148">
        <v>1439</v>
      </c>
      <c r="L9" s="148">
        <v>1361</v>
      </c>
      <c r="M9" s="148">
        <v>1375</v>
      </c>
      <c r="N9" s="313">
        <f>SUM(J9:M9)</f>
        <v>5729</v>
      </c>
      <c r="O9" s="148">
        <v>1527</v>
      </c>
      <c r="P9" s="148">
        <v>1412</v>
      </c>
      <c r="Q9" s="148">
        <v>1329</v>
      </c>
      <c r="R9" s="148">
        <v>1293</v>
      </c>
      <c r="S9" s="313">
        <f>SUM(O9:R9)</f>
        <v>5561</v>
      </c>
    </row>
    <row r="10" spans="1:19" ht="17.25" customHeight="1">
      <c r="A10" s="7"/>
      <c r="B10" s="24" t="s">
        <v>14</v>
      </c>
      <c r="C10" s="290">
        <v>4653</v>
      </c>
      <c r="D10" s="290">
        <v>3311</v>
      </c>
      <c r="E10" s="149">
        <v>809</v>
      </c>
      <c r="F10" s="149">
        <v>908</v>
      </c>
      <c r="G10" s="149">
        <v>892</v>
      </c>
      <c r="H10" s="149">
        <v>893</v>
      </c>
      <c r="I10" s="154">
        <f>SUM(E10:H10)</f>
        <v>3502</v>
      </c>
      <c r="J10" s="149">
        <v>776</v>
      </c>
      <c r="K10" s="149">
        <v>838</v>
      </c>
      <c r="L10" s="149">
        <v>1295</v>
      </c>
      <c r="M10" s="149">
        <v>909</v>
      </c>
      <c r="N10" s="154">
        <f>SUM(J10:M10)</f>
        <v>3818</v>
      </c>
      <c r="O10" s="149">
        <v>774</v>
      </c>
      <c r="P10" s="149">
        <v>783</v>
      </c>
      <c r="Q10" s="149">
        <v>811</v>
      </c>
      <c r="R10" s="149">
        <v>851</v>
      </c>
      <c r="S10" s="154">
        <f>SUM(O10:R10)</f>
        <v>3219</v>
      </c>
    </row>
    <row r="11" spans="1:19" s="18" customFormat="1" ht="17.25" customHeight="1">
      <c r="A11" s="7"/>
      <c r="B11" s="27" t="s">
        <v>15</v>
      </c>
      <c r="C11" s="291">
        <v>965</v>
      </c>
      <c r="D11" s="291">
        <v>816</v>
      </c>
      <c r="E11" s="150">
        <v>228</v>
      </c>
      <c r="F11" s="150">
        <v>230</v>
      </c>
      <c r="G11" s="150">
        <v>195</v>
      </c>
      <c r="H11" s="291">
        <v>225</v>
      </c>
      <c r="I11" s="155">
        <f>SUM(E11:H11)</f>
        <v>878</v>
      </c>
      <c r="J11" s="150">
        <v>230</v>
      </c>
      <c r="K11" s="150">
        <v>202</v>
      </c>
      <c r="L11" s="150">
        <v>199</v>
      </c>
      <c r="M11" s="150">
        <v>197</v>
      </c>
      <c r="N11" s="155">
        <f>SUM(J11:M11)</f>
        <v>828</v>
      </c>
      <c r="O11" s="150">
        <v>194</v>
      </c>
      <c r="P11" s="150">
        <v>200</v>
      </c>
      <c r="Q11" s="150">
        <v>199</v>
      </c>
      <c r="R11" s="150">
        <v>211</v>
      </c>
      <c r="S11" s="155">
        <f>SUM(O11:R11)</f>
        <v>804</v>
      </c>
    </row>
    <row r="12" spans="1:19" s="18" customFormat="1" ht="17.25" customHeight="1">
      <c r="A12" s="7"/>
      <c r="B12" s="28" t="s">
        <v>16</v>
      </c>
      <c r="C12" s="159">
        <f>+C11+C10</f>
        <v>5618</v>
      </c>
      <c r="D12" s="159">
        <f>+D11+D10</f>
        <v>4127</v>
      </c>
      <c r="E12" s="159">
        <f>+E11+E10</f>
        <v>1037</v>
      </c>
      <c r="F12" s="159">
        <f>+F11+F10</f>
        <v>1138</v>
      </c>
      <c r="G12" s="159">
        <f>+G11+G10</f>
        <v>1087</v>
      </c>
      <c r="H12" s="159">
        <f aca="true" t="shared" si="0" ref="H12:M12">+H11+H10</f>
        <v>1118</v>
      </c>
      <c r="I12" s="169">
        <f t="shared" si="0"/>
        <v>4380</v>
      </c>
      <c r="J12" s="159">
        <f t="shared" si="0"/>
        <v>1006</v>
      </c>
      <c r="K12" s="159">
        <f t="shared" si="0"/>
        <v>1040</v>
      </c>
      <c r="L12" s="159">
        <f t="shared" si="0"/>
        <v>1494</v>
      </c>
      <c r="M12" s="159">
        <f t="shared" si="0"/>
        <v>1106</v>
      </c>
      <c r="N12" s="169">
        <f>+N11+N10</f>
        <v>4646</v>
      </c>
      <c r="O12" s="159">
        <f>+O11+O10</f>
        <v>968</v>
      </c>
      <c r="P12" s="159">
        <f>+P11+P10</f>
        <v>983</v>
      </c>
      <c r="Q12" s="159">
        <f>+Q11+Q10</f>
        <v>1010</v>
      </c>
      <c r="R12" s="159">
        <f>+R11+R10</f>
        <v>1062</v>
      </c>
      <c r="S12" s="169">
        <f>S10+S11</f>
        <v>4023</v>
      </c>
    </row>
    <row r="13" spans="1:19" s="18" customFormat="1" ht="17.25" customHeight="1" thickBot="1">
      <c r="A13" s="7"/>
      <c r="B13" s="26" t="s">
        <v>17</v>
      </c>
      <c r="C13" s="147">
        <f>(C9+C12)</f>
        <v>11113</v>
      </c>
      <c r="D13" s="147">
        <f>(D9+D12)</f>
        <v>10087</v>
      </c>
      <c r="E13" s="147">
        <f>(E9+E12)</f>
        <v>2574</v>
      </c>
      <c r="F13" s="147">
        <f>(F9+F12)</f>
        <v>2702</v>
      </c>
      <c r="G13" s="147">
        <f>(G9+G12)</f>
        <v>2542</v>
      </c>
      <c r="H13" s="147">
        <f aca="true" t="shared" si="1" ref="H13:M13">(H9+H12)</f>
        <v>2603</v>
      </c>
      <c r="I13" s="147">
        <f t="shared" si="1"/>
        <v>10421</v>
      </c>
      <c r="J13" s="147">
        <f t="shared" si="1"/>
        <v>2560</v>
      </c>
      <c r="K13" s="147">
        <f t="shared" si="1"/>
        <v>2479</v>
      </c>
      <c r="L13" s="147">
        <f t="shared" si="1"/>
        <v>2855</v>
      </c>
      <c r="M13" s="147">
        <f t="shared" si="1"/>
        <v>2481</v>
      </c>
      <c r="N13" s="147">
        <f aca="true" t="shared" si="2" ref="N13:S13">(N9+N12)</f>
        <v>10375</v>
      </c>
      <c r="O13" s="147">
        <f t="shared" si="2"/>
        <v>2495</v>
      </c>
      <c r="P13" s="147">
        <f t="shared" si="2"/>
        <v>2395</v>
      </c>
      <c r="Q13" s="147">
        <f t="shared" si="2"/>
        <v>2339</v>
      </c>
      <c r="R13" s="147">
        <f t="shared" si="2"/>
        <v>2355</v>
      </c>
      <c r="S13" s="147">
        <f t="shared" si="2"/>
        <v>9584</v>
      </c>
    </row>
    <row r="14" spans="1:19" s="18" customFormat="1" ht="17.25" customHeight="1" thickBot="1">
      <c r="A14" s="7"/>
      <c r="B14" s="39" t="s">
        <v>91</v>
      </c>
      <c r="C14" s="147">
        <f aca="true" t="shared" si="3" ref="C14:H14">IF((+C7-C8-C13)=C15+C16+C17,(+C7-C8-C13),"Error")</f>
        <v>2846</v>
      </c>
      <c r="D14" s="147">
        <f t="shared" si="3"/>
        <v>4329</v>
      </c>
      <c r="E14" s="147">
        <f t="shared" si="3"/>
        <v>1164</v>
      </c>
      <c r="F14" s="147">
        <f t="shared" si="3"/>
        <v>978</v>
      </c>
      <c r="G14" s="147">
        <f t="shared" si="3"/>
        <v>1003</v>
      </c>
      <c r="H14" s="147">
        <f t="shared" si="3"/>
        <v>997</v>
      </c>
      <c r="I14" s="147">
        <f aca="true" t="shared" si="4" ref="I14:P14">IF((+I7-I8-I13)=I15+I16+I17,(+I7-I8-I13),"Error")</f>
        <v>4142</v>
      </c>
      <c r="J14" s="147">
        <f t="shared" si="4"/>
        <v>1097</v>
      </c>
      <c r="K14" s="147">
        <f t="shared" si="4"/>
        <v>1004</v>
      </c>
      <c r="L14" s="147">
        <f t="shared" si="4"/>
        <v>328</v>
      </c>
      <c r="M14" s="147">
        <f t="shared" si="4"/>
        <v>532</v>
      </c>
      <c r="N14" s="147">
        <f t="shared" si="4"/>
        <v>2961</v>
      </c>
      <c r="O14" s="147">
        <f t="shared" si="4"/>
        <v>951</v>
      </c>
      <c r="P14" s="147">
        <f t="shared" si="4"/>
        <v>977</v>
      </c>
      <c r="Q14" s="147">
        <f>IF((+Q7-Q8-Q13)=Q15+Q16+Q17,(+Q7-Q8-Q13),"Error")</f>
        <v>936</v>
      </c>
      <c r="R14" s="147">
        <f>IF((+R7-R8-R13)=R15+R16+R17,(+R7-R8-R13),"Error")</f>
        <v>911</v>
      </c>
      <c r="S14" s="147">
        <f>IF((+S7-S8-S13)=S15+S16+S17,(+S7-S8-S13),"Error")</f>
        <v>3775</v>
      </c>
    </row>
    <row r="15" spans="1:19" s="18" customFormat="1" ht="17.25" customHeight="1">
      <c r="A15" s="7"/>
      <c r="B15" s="142" t="s">
        <v>113</v>
      </c>
      <c r="C15" s="356">
        <f>+WMC!C10</f>
        <v>2723</v>
      </c>
      <c r="D15" s="356">
        <f>WMC!D10</f>
        <v>3213</v>
      </c>
      <c r="E15" s="356">
        <f>WMC!E10</f>
        <v>728</v>
      </c>
      <c r="F15" s="356">
        <f>WMC!F10</f>
        <v>668</v>
      </c>
      <c r="G15" s="356">
        <f>WMC!G10</f>
        <v>619</v>
      </c>
      <c r="H15" s="356">
        <f>WMC!H10</f>
        <v>590</v>
      </c>
      <c r="I15" s="356">
        <f>WMC!I10</f>
        <v>2605</v>
      </c>
      <c r="J15" s="356">
        <f>WMC!J10</f>
        <v>646</v>
      </c>
      <c r="K15" s="357">
        <f>WMC!K10</f>
        <v>524</v>
      </c>
      <c r="L15" s="356">
        <f>WMC!L10</f>
        <v>5</v>
      </c>
      <c r="M15" s="356">
        <f>WMC!M10</f>
        <v>271</v>
      </c>
      <c r="N15" s="356">
        <f>WMC!N10</f>
        <v>1446</v>
      </c>
      <c r="O15" s="356">
        <f>WMC!O10</f>
        <v>441</v>
      </c>
      <c r="P15" s="356">
        <f>WMC!P10</f>
        <v>592</v>
      </c>
      <c r="Q15" s="356">
        <f>WMC!Q10</f>
        <v>498</v>
      </c>
      <c r="R15" s="356">
        <f>WMC!R10</f>
        <v>490</v>
      </c>
      <c r="S15" s="356">
        <f>WMC!S10</f>
        <v>2021</v>
      </c>
    </row>
    <row r="16" spans="1:19" s="18" customFormat="1" ht="17.25" customHeight="1">
      <c r="A16" s="7"/>
      <c r="B16" s="142" t="s">
        <v>114</v>
      </c>
      <c r="C16" s="204">
        <f>+CIC!C10</f>
        <v>1469</v>
      </c>
      <c r="D16" s="204">
        <f>CIC!D10</f>
        <v>965</v>
      </c>
      <c r="E16" s="204">
        <f>CIC!E10</f>
        <v>248</v>
      </c>
      <c r="F16" s="204">
        <f>CIC!F10</f>
        <v>269</v>
      </c>
      <c r="G16" s="204">
        <f>CIC!G10</f>
        <v>236</v>
      </c>
      <c r="H16" s="204">
        <f>CIC!H10</f>
        <v>218</v>
      </c>
      <c r="I16" s="204">
        <f>CIC!I10</f>
        <v>971</v>
      </c>
      <c r="J16" s="204">
        <f>CIC!J10</f>
        <v>260</v>
      </c>
      <c r="K16" s="355">
        <f>CIC!K10</f>
        <v>267</v>
      </c>
      <c r="L16" s="204">
        <f>CIC!L10</f>
        <v>223</v>
      </c>
      <c r="M16" s="204">
        <f>CIC!M10</f>
        <v>171</v>
      </c>
      <c r="N16" s="204">
        <f>CIC!N10</f>
        <v>921</v>
      </c>
      <c r="O16" s="204">
        <f>CIC!O10</f>
        <v>247</v>
      </c>
      <c r="P16" s="204">
        <f>CIC!P10</f>
        <v>245</v>
      </c>
      <c r="Q16" s="204">
        <f>CIC!Q10</f>
        <v>214</v>
      </c>
      <c r="R16" s="204">
        <f>CIC!R10</f>
        <v>238</v>
      </c>
      <c r="S16" s="204">
        <f>CIC!S10</f>
        <v>944</v>
      </c>
    </row>
    <row r="17" spans="1:19" s="18" customFormat="1" ht="17.25" customHeight="1">
      <c r="A17" s="7"/>
      <c r="B17" s="380" t="s">
        <v>179</v>
      </c>
      <c r="C17" s="151">
        <f>'Asset Management'!C10</f>
        <v>-1346</v>
      </c>
      <c r="D17" s="151">
        <f>'Asset Management'!D10</f>
        <v>151</v>
      </c>
      <c r="E17" s="151">
        <f>'Asset Management'!E10</f>
        <v>188</v>
      </c>
      <c r="F17" s="151">
        <f>'Asset Management'!F10</f>
        <v>41</v>
      </c>
      <c r="G17" s="151">
        <f>'Asset Management'!G10</f>
        <v>148</v>
      </c>
      <c r="H17" s="151">
        <f>'Asset Management'!H10</f>
        <v>189</v>
      </c>
      <c r="I17" s="151">
        <f>'Asset Management'!I10</f>
        <v>566</v>
      </c>
      <c r="J17" s="151">
        <f>'Asset Management'!J10</f>
        <v>191</v>
      </c>
      <c r="K17" s="151">
        <f>'Asset Management'!K10</f>
        <v>213</v>
      </c>
      <c r="L17" s="151">
        <f>'Asset Management'!L10</f>
        <v>100</v>
      </c>
      <c r="M17" s="151">
        <f>'Asset Management'!M10</f>
        <v>90</v>
      </c>
      <c r="N17" s="151">
        <f>'Asset Management'!N10</f>
        <v>594</v>
      </c>
      <c r="O17" s="151">
        <f>'Asset Management'!O10</f>
        <v>263</v>
      </c>
      <c r="P17" s="151">
        <f>'Asset Management'!P10</f>
        <v>140</v>
      </c>
      <c r="Q17" s="151">
        <f>'Asset Management'!Q10</f>
        <v>224</v>
      </c>
      <c r="R17" s="151">
        <f>'Asset Management'!R10</f>
        <v>183</v>
      </c>
      <c r="S17" s="151">
        <f>'Asset Management'!S10</f>
        <v>810</v>
      </c>
    </row>
    <row r="18" spans="1:19" ht="17.25" customHeight="1">
      <c r="A18" s="7"/>
      <c r="B18" s="1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7.25" customHeight="1">
      <c r="A19" s="7"/>
      <c r="B19" s="13" t="s">
        <v>96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7.25" customHeight="1">
      <c r="A20" s="7"/>
      <c r="B20" s="28" t="s">
        <v>36</v>
      </c>
      <c r="C20" s="175">
        <f>+C13/C7*100</f>
        <v>78.9</v>
      </c>
      <c r="D20" s="175">
        <f>+D13/D7*100</f>
        <v>69.1</v>
      </c>
      <c r="E20" s="175">
        <f>+E13/E7*100</f>
        <v>68.5</v>
      </c>
      <c r="F20" s="175">
        <f>+F13/F7*100</f>
        <v>73.4</v>
      </c>
      <c r="G20" s="175">
        <f>+G13/G7*100</f>
        <v>71.9</v>
      </c>
      <c r="H20" s="175">
        <f aca="true" t="shared" si="5" ref="H20:N20">+H13/H7*100</f>
        <v>72.2</v>
      </c>
      <c r="I20" s="175">
        <f t="shared" si="5"/>
        <v>71.5</v>
      </c>
      <c r="J20" s="175">
        <f t="shared" si="5"/>
        <v>69.8</v>
      </c>
      <c r="K20" s="175">
        <f t="shared" si="5"/>
        <v>71.2</v>
      </c>
      <c r="L20" s="175">
        <f t="shared" si="5"/>
        <v>88.9</v>
      </c>
      <c r="M20" s="175">
        <f t="shared" si="5"/>
        <v>80.4</v>
      </c>
      <c r="N20" s="175">
        <f t="shared" si="5"/>
        <v>77.2</v>
      </c>
      <c r="O20" s="175">
        <f>+O13/O7*100</f>
        <v>71.6</v>
      </c>
      <c r="P20" s="175">
        <f>+P13/P7*100</f>
        <v>70.2</v>
      </c>
      <c r="Q20" s="175">
        <f>+Q13/Q7*100</f>
        <v>70.7</v>
      </c>
      <c r="R20" s="175">
        <f>+R13/R7*100</f>
        <v>70.6</v>
      </c>
      <c r="S20" s="175">
        <f>+S13/S7*100</f>
        <v>70.8</v>
      </c>
    </row>
    <row r="21" spans="1:19" ht="17.25" customHeight="1" thickBot="1">
      <c r="A21" s="7"/>
      <c r="B21" s="58" t="s">
        <v>37</v>
      </c>
      <c r="C21" s="176">
        <f>+C14/C7*100</f>
        <v>20.2</v>
      </c>
      <c r="D21" s="176">
        <f>+D14/D7*100</f>
        <v>29.7</v>
      </c>
      <c r="E21" s="176">
        <f>+E14/E7*100</f>
        <v>31</v>
      </c>
      <c r="F21" s="176">
        <f>+F14/F7*100</f>
        <v>26.6</v>
      </c>
      <c r="G21" s="176">
        <f>+G14/G7*100</f>
        <v>28.4</v>
      </c>
      <c r="H21" s="176">
        <f aca="true" t="shared" si="6" ref="H21:N21">+H14/H7*100</f>
        <v>27.7</v>
      </c>
      <c r="I21" s="176">
        <f t="shared" si="6"/>
        <v>28.4</v>
      </c>
      <c r="J21" s="176">
        <f t="shared" si="6"/>
        <v>29.9</v>
      </c>
      <c r="K21" s="176">
        <f t="shared" si="6"/>
        <v>28.8</v>
      </c>
      <c r="L21" s="176">
        <v>8</v>
      </c>
      <c r="M21" s="176">
        <f t="shared" si="6"/>
        <v>17.2</v>
      </c>
      <c r="N21" s="176">
        <f t="shared" si="6"/>
        <v>22</v>
      </c>
      <c r="O21" s="176">
        <f>+O14/O7*100</f>
        <v>27.3</v>
      </c>
      <c r="P21" s="176">
        <f>+P14/P7*100</f>
        <v>28.6</v>
      </c>
      <c r="Q21" s="176">
        <f>+Q14/Q7*100</f>
        <v>28.3</v>
      </c>
      <c r="R21" s="176">
        <f>+R14/R7*100</f>
        <v>27.3</v>
      </c>
      <c r="S21" s="176">
        <f>+S14/S7*100</f>
        <v>27.9</v>
      </c>
    </row>
    <row r="22" spans="1:19" ht="17.25" customHeight="1">
      <c r="A22" s="7"/>
      <c r="B22" s="1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" customHeight="1">
      <c r="A23" s="7"/>
      <c r="B23" s="13" t="s">
        <v>56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27" customHeight="1" thickBot="1">
      <c r="A24" s="7"/>
      <c r="B24" s="117" t="s">
        <v>120</v>
      </c>
      <c r="C24" s="397">
        <v>9220</v>
      </c>
      <c r="D24" s="397">
        <v>9398</v>
      </c>
      <c r="E24" s="397">
        <v>9384</v>
      </c>
      <c r="F24" s="397">
        <v>9969</v>
      </c>
      <c r="G24" s="397">
        <v>10380</v>
      </c>
      <c r="H24" s="397">
        <v>10224</v>
      </c>
      <c r="I24" s="397">
        <v>9934</v>
      </c>
      <c r="J24" s="393">
        <v>10204</v>
      </c>
      <c r="K24" s="393">
        <v>10157</v>
      </c>
      <c r="L24" s="393">
        <v>9956</v>
      </c>
      <c r="M24" s="393">
        <v>10060</v>
      </c>
      <c r="N24" s="393">
        <v>10115</v>
      </c>
      <c r="O24" s="393">
        <v>9933</v>
      </c>
      <c r="P24" s="393">
        <v>10157</v>
      </c>
      <c r="Q24" s="393">
        <v>10110</v>
      </c>
      <c r="R24" s="329">
        <v>9912</v>
      </c>
      <c r="S24" s="329">
        <v>9981</v>
      </c>
    </row>
    <row r="25" spans="1:19" ht="26.25" thickBot="1">
      <c r="A25" s="37"/>
      <c r="B25" s="117" t="s">
        <v>121</v>
      </c>
      <c r="C25" s="246">
        <v>31.7</v>
      </c>
      <c r="D25" s="246">
        <v>46.8</v>
      </c>
      <c r="E25" s="246">
        <v>50.3</v>
      </c>
      <c r="F25" s="246">
        <v>39.9</v>
      </c>
      <c r="G25" s="246">
        <v>39.3</v>
      </c>
      <c r="H25" s="246">
        <v>39.6</v>
      </c>
      <c r="I25" s="246">
        <v>42.4</v>
      </c>
      <c r="J25" s="246">
        <v>43.6</v>
      </c>
      <c r="K25" s="246">
        <v>40.1</v>
      </c>
      <c r="L25" s="246">
        <v>13.8</v>
      </c>
      <c r="M25" s="246">
        <v>21.8</v>
      </c>
      <c r="N25" s="246">
        <v>29.9</v>
      </c>
      <c r="O25" s="246">
        <v>39</v>
      </c>
      <c r="P25" s="246">
        <v>39.1</v>
      </c>
      <c r="Q25" s="246">
        <v>37.7</v>
      </c>
      <c r="R25" s="246">
        <v>37.4</v>
      </c>
      <c r="S25" s="246">
        <v>38.5</v>
      </c>
    </row>
    <row r="26" spans="1:19" ht="12.75">
      <c r="A26" s="37"/>
      <c r="B26" s="119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</row>
    <row r="27" spans="1:19" ht="15.75" customHeight="1">
      <c r="A27" s="7"/>
      <c r="B27" s="13" t="s">
        <v>57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7.25" customHeight="1" thickBot="1">
      <c r="A28" s="7"/>
      <c r="B28" s="58" t="s">
        <v>58</v>
      </c>
      <c r="C28" s="187">
        <f>+'Core Results'!C41</f>
        <v>27700</v>
      </c>
      <c r="D28" s="187">
        <f>+'Core Results'!D41</f>
        <v>27600</v>
      </c>
      <c r="E28" s="187">
        <f>+'Core Results'!E41</f>
        <v>27700</v>
      </c>
      <c r="F28" s="187">
        <f>+'Core Results'!F41</f>
        <v>28000</v>
      </c>
      <c r="G28" s="187">
        <f>+'Core Results'!G41</f>
        <v>28600</v>
      </c>
      <c r="H28" s="187">
        <f>+'Core Results'!H41</f>
        <v>28700</v>
      </c>
      <c r="I28" s="187">
        <f>+'Core Results'!I41</f>
        <v>28700</v>
      </c>
      <c r="J28" s="187">
        <f>+'Core Results'!J41</f>
        <v>28600</v>
      </c>
      <c r="K28" s="187">
        <f>+'Core Results'!K41</f>
        <v>28600</v>
      </c>
      <c r="L28" s="187">
        <f>+'Core Results'!L41</f>
        <v>28400</v>
      </c>
      <c r="M28" s="187">
        <f>+'Core Results'!M41</f>
        <v>28100</v>
      </c>
      <c r="N28" s="187">
        <f>+'Core Results'!N41</f>
        <v>28100</v>
      </c>
      <c r="O28" s="187">
        <f>+'Core Results'!O41</f>
        <v>27200</v>
      </c>
      <c r="P28" s="187">
        <f>+'Core Results'!P41</f>
        <v>27300</v>
      </c>
      <c r="Q28" s="187">
        <f>+'Core Results'!Q41</f>
        <v>27400</v>
      </c>
      <c r="R28" s="187">
        <f>+'Core Results'!R41</f>
        <v>27300</v>
      </c>
      <c r="S28" s="187">
        <f>+'Core Results'!S41</f>
        <v>27300</v>
      </c>
    </row>
    <row r="29" spans="1:19" ht="17.25" customHeight="1">
      <c r="A29" s="7"/>
      <c r="B29" s="19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</row>
    <row r="30" spans="1:19" ht="17.25" customHeight="1">
      <c r="A30" s="7"/>
      <c r="B30" s="13" t="s">
        <v>27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</row>
    <row r="31" spans="1:19" s="18" customFormat="1" ht="17.25" customHeight="1">
      <c r="A31" s="7"/>
      <c r="B31" s="24" t="s">
        <v>7</v>
      </c>
      <c r="C31" s="290">
        <v>5096</v>
      </c>
      <c r="D31" s="290">
        <v>4885</v>
      </c>
      <c r="E31" s="149">
        <v>1191</v>
      </c>
      <c r="F31" s="149">
        <v>1239</v>
      </c>
      <c r="G31" s="149">
        <v>1193</v>
      </c>
      <c r="H31" s="149">
        <v>1198</v>
      </c>
      <c r="I31" s="153">
        <f>SUM(E31:H31)</f>
        <v>4821</v>
      </c>
      <c r="J31" s="149">
        <v>1148</v>
      </c>
      <c r="K31" s="149">
        <v>1127</v>
      </c>
      <c r="L31" s="149">
        <v>1084</v>
      </c>
      <c r="M31" s="149">
        <v>1153</v>
      </c>
      <c r="N31" s="153">
        <f>SUM(J31:M31)</f>
        <v>4512</v>
      </c>
      <c r="O31" s="149">
        <v>1122</v>
      </c>
      <c r="P31" s="149">
        <v>1158</v>
      </c>
      <c r="Q31" s="149">
        <v>1143</v>
      </c>
      <c r="R31" s="149">
        <v>1128</v>
      </c>
      <c r="S31" s="153">
        <f>SUM(O31:R31)</f>
        <v>4551</v>
      </c>
    </row>
    <row r="32" spans="1:19" s="18" customFormat="1" ht="17.25" customHeight="1">
      <c r="A32" s="7"/>
      <c r="B32" s="16" t="s">
        <v>150</v>
      </c>
      <c r="C32" s="292">
        <v>6487</v>
      </c>
      <c r="D32" s="292">
        <v>5264</v>
      </c>
      <c r="E32" s="206">
        <v>1414</v>
      </c>
      <c r="F32" s="206">
        <v>1382</v>
      </c>
      <c r="G32" s="206">
        <v>1343</v>
      </c>
      <c r="H32" s="206">
        <v>1323</v>
      </c>
      <c r="I32" s="207">
        <f>SUM(E32:H32)</f>
        <v>5462</v>
      </c>
      <c r="J32" s="206">
        <v>1334</v>
      </c>
      <c r="K32" s="206">
        <v>1299</v>
      </c>
      <c r="L32" s="206">
        <v>1216</v>
      </c>
      <c r="M32" s="206">
        <v>1219</v>
      </c>
      <c r="N32" s="207">
        <f>SUM(J32:M32)</f>
        <v>5068</v>
      </c>
      <c r="O32" s="206">
        <v>1221</v>
      </c>
      <c r="P32" s="206">
        <v>1226</v>
      </c>
      <c r="Q32" s="206">
        <v>1214</v>
      </c>
      <c r="R32" s="206">
        <v>1203</v>
      </c>
      <c r="S32" s="207">
        <f>SUM(O32:R32)</f>
        <v>4864</v>
      </c>
    </row>
    <row r="33" spans="1:19" s="18" customFormat="1" ht="17.25" customHeight="1">
      <c r="A33" s="7"/>
      <c r="B33" s="16" t="s">
        <v>183</v>
      </c>
      <c r="C33" s="292">
        <v>4056</v>
      </c>
      <c r="D33" s="292">
        <v>4533</v>
      </c>
      <c r="E33" s="206">
        <v>963</v>
      </c>
      <c r="F33" s="206">
        <v>991</v>
      </c>
      <c r="G33" s="206">
        <v>889</v>
      </c>
      <c r="H33" s="206">
        <v>1057</v>
      </c>
      <c r="I33" s="207">
        <f>SUM(E33:H33)</f>
        <v>3900</v>
      </c>
      <c r="J33" s="206">
        <v>1054</v>
      </c>
      <c r="K33" s="206">
        <v>901</v>
      </c>
      <c r="L33" s="206">
        <v>921</v>
      </c>
      <c r="M33" s="206">
        <v>731</v>
      </c>
      <c r="N33" s="207">
        <f>SUM(J33:M33)</f>
        <v>3607</v>
      </c>
      <c r="O33" s="206">
        <v>906</v>
      </c>
      <c r="P33" s="206">
        <v>923</v>
      </c>
      <c r="Q33" s="206">
        <v>795</v>
      </c>
      <c r="R33" s="206">
        <v>1054</v>
      </c>
      <c r="S33" s="207">
        <f>SUM(O33:R33)</f>
        <v>3678</v>
      </c>
    </row>
    <row r="34" spans="1:19" s="18" customFormat="1" ht="17.25" customHeight="1">
      <c r="A34" s="7"/>
      <c r="B34" s="381" t="s">
        <v>10</v>
      </c>
      <c r="C34" s="291">
        <v>-1548</v>
      </c>
      <c r="D34" s="291">
        <v>-89</v>
      </c>
      <c r="E34" s="150">
        <v>188</v>
      </c>
      <c r="F34" s="150">
        <v>71</v>
      </c>
      <c r="G34" s="150">
        <v>112</v>
      </c>
      <c r="H34" s="150">
        <v>26</v>
      </c>
      <c r="I34" s="151">
        <f>SUM(E34:H34)</f>
        <v>397</v>
      </c>
      <c r="J34" s="150">
        <v>133</v>
      </c>
      <c r="K34" s="150">
        <v>154</v>
      </c>
      <c r="L34" s="150">
        <v>-11</v>
      </c>
      <c r="M34" s="150">
        <v>-16</v>
      </c>
      <c r="N34" s="151">
        <f>SUM(J34:M34)</f>
        <v>260</v>
      </c>
      <c r="O34" s="150">
        <v>236</v>
      </c>
      <c r="P34" s="150">
        <v>105</v>
      </c>
      <c r="Q34" s="150">
        <v>158</v>
      </c>
      <c r="R34" s="150">
        <v>-51</v>
      </c>
      <c r="S34" s="151">
        <f>SUM(O34:R34)</f>
        <v>448</v>
      </c>
    </row>
    <row r="35" spans="1:19" s="18" customFormat="1" ht="17.25" customHeight="1" thickBot="1">
      <c r="A35" s="7"/>
      <c r="B35" s="33" t="s">
        <v>11</v>
      </c>
      <c r="C35" s="156">
        <f>IF((+C31+C32+C33+C34)=(C7),(+C31+C32+C33+C34),"Error")</f>
        <v>14091</v>
      </c>
      <c r="D35" s="156">
        <f aca="true" t="shared" si="7" ref="D35:P35">IF((+D31+D32+D33+D34)=(D7),(+D31+D32+D33+D34),"Error")</f>
        <v>14593</v>
      </c>
      <c r="E35" s="156">
        <f t="shared" si="7"/>
        <v>3756</v>
      </c>
      <c r="F35" s="156">
        <f t="shared" si="7"/>
        <v>3683</v>
      </c>
      <c r="G35" s="156">
        <f t="shared" si="7"/>
        <v>3537</v>
      </c>
      <c r="H35" s="156">
        <f t="shared" si="7"/>
        <v>3604</v>
      </c>
      <c r="I35" s="156">
        <f t="shared" si="7"/>
        <v>14580</v>
      </c>
      <c r="J35" s="156">
        <f t="shared" si="7"/>
        <v>3669</v>
      </c>
      <c r="K35" s="156">
        <f t="shared" si="7"/>
        <v>3481</v>
      </c>
      <c r="L35" s="156">
        <f t="shared" si="7"/>
        <v>3210</v>
      </c>
      <c r="M35" s="156">
        <f t="shared" si="7"/>
        <v>3087</v>
      </c>
      <c r="N35" s="156">
        <f t="shared" si="7"/>
        <v>13447</v>
      </c>
      <c r="O35" s="156">
        <f t="shared" si="7"/>
        <v>3485</v>
      </c>
      <c r="P35" s="156">
        <f t="shared" si="7"/>
        <v>3412</v>
      </c>
      <c r="Q35" s="156">
        <f>IF((+Q31+Q32+Q33+Q34)=(Q7),(+Q31+Q32+Q33+Q34),"Error")</f>
        <v>3310</v>
      </c>
      <c r="R35" s="156">
        <f>IF((+R31+R32+R33+R34)=(R7),(+R31+R32+R33+R34),"Error")</f>
        <v>3334</v>
      </c>
      <c r="S35" s="156">
        <f>IF((+S31+S32+S33+S34)=(S7),(+S31+S32+S33+S34),"Error")</f>
        <v>13541</v>
      </c>
    </row>
    <row r="36" spans="1:19" s="18" customFormat="1" ht="17.25" customHeight="1">
      <c r="A36" s="7"/>
      <c r="B36" s="32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</row>
    <row r="37" spans="1:19" ht="17.25" customHeight="1">
      <c r="A37" s="7"/>
      <c r="B37" s="13" t="s">
        <v>119</v>
      </c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</row>
    <row r="38" spans="1:19" s="18" customFormat="1" ht="17.25" customHeight="1">
      <c r="A38" s="7"/>
      <c r="B38" s="24" t="s">
        <v>123</v>
      </c>
      <c r="C38" s="290">
        <v>287</v>
      </c>
      <c r="D38" s="290">
        <v>416</v>
      </c>
      <c r="E38" s="149">
        <v>74</v>
      </c>
      <c r="F38" s="149">
        <v>90</v>
      </c>
      <c r="G38" s="149">
        <v>47</v>
      </c>
      <c r="H38" s="149">
        <v>77</v>
      </c>
      <c r="I38" s="154">
        <f>SUM(E38:H38)</f>
        <v>288</v>
      </c>
      <c r="J38" s="149">
        <v>41</v>
      </c>
      <c r="K38" s="149">
        <v>54</v>
      </c>
      <c r="L38" s="149">
        <v>57</v>
      </c>
      <c r="M38" s="149">
        <v>125</v>
      </c>
      <c r="N38" s="154">
        <f>SUM(J38:M38)</f>
        <v>277</v>
      </c>
      <c r="O38" s="149">
        <v>80</v>
      </c>
      <c r="P38" s="149">
        <v>69</v>
      </c>
      <c r="Q38" s="149">
        <v>60</v>
      </c>
      <c r="R38" s="149">
        <v>107</v>
      </c>
      <c r="S38" s="154">
        <f>SUM(O38:R38)</f>
        <v>316</v>
      </c>
    </row>
    <row r="39" spans="1:19" s="18" customFormat="1" ht="17.25" customHeight="1">
      <c r="A39" s="7"/>
      <c r="B39" s="27" t="s">
        <v>124</v>
      </c>
      <c r="C39" s="291">
        <v>-155</v>
      </c>
      <c r="D39" s="291">
        <v>-239</v>
      </c>
      <c r="E39" s="150">
        <v>-56</v>
      </c>
      <c r="F39" s="150">
        <v>-87</v>
      </c>
      <c r="G39" s="150">
        <v>-55</v>
      </c>
      <c r="H39" s="150">
        <v>-73</v>
      </c>
      <c r="I39" s="155">
        <f>SUM(E39:H39)</f>
        <v>-271</v>
      </c>
      <c r="J39" s="150">
        <v>-29</v>
      </c>
      <c r="K39" s="150">
        <v>-56</v>
      </c>
      <c r="L39" s="150">
        <v>-30</v>
      </c>
      <c r="M39" s="150">
        <v>-51</v>
      </c>
      <c r="N39" s="155">
        <f>SUM(J39:M39)</f>
        <v>-166</v>
      </c>
      <c r="O39" s="150">
        <v>-41</v>
      </c>
      <c r="P39" s="150">
        <v>-29</v>
      </c>
      <c r="Q39" s="150">
        <v>-25</v>
      </c>
      <c r="R39" s="150">
        <v>-39</v>
      </c>
      <c r="S39" s="155">
        <f>SUM(O39:R39)</f>
        <v>-134</v>
      </c>
    </row>
    <row r="40" spans="1:19" s="18" customFormat="1" ht="17.25" customHeight="1" thickBot="1">
      <c r="A40" s="7"/>
      <c r="B40" s="33" t="s">
        <v>12</v>
      </c>
      <c r="C40" s="156">
        <f aca="true" t="shared" si="8" ref="C40:M40">IF((SUM(C38:C39))=C8,(SUM(C38:C39)),"Error")</f>
        <v>132</v>
      </c>
      <c r="D40" s="156">
        <f t="shared" si="8"/>
        <v>177</v>
      </c>
      <c r="E40" s="156">
        <f t="shared" si="8"/>
        <v>18</v>
      </c>
      <c r="F40" s="156">
        <f t="shared" si="8"/>
        <v>3</v>
      </c>
      <c r="G40" s="156">
        <f t="shared" si="8"/>
        <v>-8</v>
      </c>
      <c r="H40" s="156">
        <f t="shared" si="8"/>
        <v>4</v>
      </c>
      <c r="I40" s="156">
        <f t="shared" si="8"/>
        <v>17</v>
      </c>
      <c r="J40" s="156">
        <f t="shared" si="8"/>
        <v>12</v>
      </c>
      <c r="K40" s="156">
        <f t="shared" si="8"/>
        <v>-2</v>
      </c>
      <c r="L40" s="156">
        <f t="shared" si="8"/>
        <v>27</v>
      </c>
      <c r="M40" s="156">
        <f t="shared" si="8"/>
        <v>74</v>
      </c>
      <c r="N40" s="156">
        <f aca="true" t="shared" si="9" ref="N40:S40">IF((SUM(N38:N39))=N8,(SUM(N38:N39)),"Error")</f>
        <v>111</v>
      </c>
      <c r="O40" s="156">
        <f t="shared" si="9"/>
        <v>39</v>
      </c>
      <c r="P40" s="156">
        <f t="shared" si="9"/>
        <v>40</v>
      </c>
      <c r="Q40" s="156">
        <f t="shared" si="9"/>
        <v>35</v>
      </c>
      <c r="R40" s="156">
        <f t="shared" si="9"/>
        <v>68</v>
      </c>
      <c r="S40" s="156">
        <f t="shared" si="9"/>
        <v>182</v>
      </c>
    </row>
    <row r="41" spans="1:19" s="18" customFormat="1" ht="17.25" customHeight="1">
      <c r="A41" s="7"/>
      <c r="B41" s="32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</row>
    <row r="42" spans="1:19" ht="17.25" customHeight="1">
      <c r="A42" s="7"/>
      <c r="B42" s="13" t="s">
        <v>39</v>
      </c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</row>
    <row r="43" spans="1:19" ht="17.25" customHeight="1">
      <c r="A43" s="7"/>
      <c r="B43" s="28" t="s">
        <v>40</v>
      </c>
      <c r="C43" s="396" t="s">
        <v>166</v>
      </c>
      <c r="D43" s="396">
        <v>393757</v>
      </c>
      <c r="E43" s="152">
        <v>409151</v>
      </c>
      <c r="F43" s="152">
        <v>411925</v>
      </c>
      <c r="G43" s="152">
        <v>404444</v>
      </c>
      <c r="H43" s="152">
        <v>383902</v>
      </c>
      <c r="I43" s="159">
        <f>+H43</f>
        <v>383902</v>
      </c>
      <c r="J43" s="152">
        <v>385665</v>
      </c>
      <c r="K43" s="152">
        <v>375245</v>
      </c>
      <c r="L43" s="152">
        <v>396211</v>
      </c>
      <c r="M43" s="152">
        <v>392201</v>
      </c>
      <c r="N43" s="159">
        <f>+M43</f>
        <v>392201</v>
      </c>
      <c r="O43" s="152">
        <v>395992</v>
      </c>
      <c r="P43" s="152">
        <v>407457</v>
      </c>
      <c r="Q43" s="152">
        <v>420413</v>
      </c>
      <c r="R43" s="152">
        <v>407329</v>
      </c>
      <c r="S43" s="159">
        <f>+R43</f>
        <v>407329</v>
      </c>
    </row>
    <row r="44" spans="1:19" ht="17.25" customHeight="1">
      <c r="A44" s="7"/>
      <c r="B44" s="89" t="s">
        <v>41</v>
      </c>
      <c r="C44" s="399">
        <v>174994</v>
      </c>
      <c r="D44" s="399">
        <v>176015</v>
      </c>
      <c r="E44" s="399">
        <v>178773</v>
      </c>
      <c r="F44" s="399">
        <v>182399</v>
      </c>
      <c r="G44" s="399">
        <v>183028</v>
      </c>
      <c r="H44" s="399">
        <v>182880</v>
      </c>
      <c r="I44" s="399">
        <f>+I45+I46</f>
        <v>182880</v>
      </c>
      <c r="J44" s="399">
        <v>185795</v>
      </c>
      <c r="K44" s="399">
        <v>186701</v>
      </c>
      <c r="L44" s="399">
        <v>192183</v>
      </c>
      <c r="M44" s="399">
        <v>196268</v>
      </c>
      <c r="N44" s="399">
        <f>+N45+N46</f>
        <v>196268</v>
      </c>
      <c r="O44" s="399">
        <v>197623</v>
      </c>
      <c r="P44" s="399">
        <v>202529</v>
      </c>
      <c r="Q44" s="399">
        <v>205258</v>
      </c>
      <c r="R44" s="399">
        <v>207702</v>
      </c>
      <c r="S44" s="204">
        <f>R44</f>
        <v>207702</v>
      </c>
    </row>
    <row r="45" spans="1:19" s="18" customFormat="1" ht="17.25" customHeight="1">
      <c r="A45" s="7"/>
      <c r="B45" s="143" t="s">
        <v>113</v>
      </c>
      <c r="C45" s="293">
        <v>123796</v>
      </c>
      <c r="D45" s="293">
        <v>125671</v>
      </c>
      <c r="E45" s="203">
        <v>127752</v>
      </c>
      <c r="F45" s="203">
        <v>130881</v>
      </c>
      <c r="G45" s="203">
        <v>132744</v>
      </c>
      <c r="H45" s="203">
        <v>130435</v>
      </c>
      <c r="I45" s="204">
        <v>130435</v>
      </c>
      <c r="J45" s="203">
        <v>133466</v>
      </c>
      <c r="K45" s="203">
        <v>134160</v>
      </c>
      <c r="L45" s="203">
        <v>138175</v>
      </c>
      <c r="M45" s="203">
        <v>139725</v>
      </c>
      <c r="N45" s="204">
        <v>139725</v>
      </c>
      <c r="O45" s="203">
        <v>140321</v>
      </c>
      <c r="P45" s="203">
        <v>143559</v>
      </c>
      <c r="Q45" s="203">
        <v>145226</v>
      </c>
      <c r="R45" s="203">
        <v>147103</v>
      </c>
      <c r="S45" s="204">
        <f>R45</f>
        <v>147103</v>
      </c>
    </row>
    <row r="46" spans="1:19" s="18" customFormat="1" ht="17.25" customHeight="1">
      <c r="A46" s="7"/>
      <c r="B46" s="142" t="s">
        <v>114</v>
      </c>
      <c r="C46" s="291">
        <v>51108</v>
      </c>
      <c r="D46" s="291">
        <v>50338</v>
      </c>
      <c r="E46" s="150">
        <v>50979</v>
      </c>
      <c r="F46" s="150">
        <v>51516</v>
      </c>
      <c r="G46" s="150">
        <v>50271</v>
      </c>
      <c r="H46" s="150">
        <v>52445</v>
      </c>
      <c r="I46" s="151">
        <v>52445</v>
      </c>
      <c r="J46" s="150">
        <v>52329</v>
      </c>
      <c r="K46" s="150">
        <v>52531</v>
      </c>
      <c r="L46" s="150">
        <v>54002</v>
      </c>
      <c r="M46" s="150">
        <v>56543</v>
      </c>
      <c r="N46" s="151">
        <v>56543</v>
      </c>
      <c r="O46" s="150">
        <v>57245</v>
      </c>
      <c r="P46" s="150">
        <v>58886</v>
      </c>
      <c r="Q46" s="150">
        <v>59943</v>
      </c>
      <c r="R46" s="150">
        <v>60595</v>
      </c>
      <c r="S46" s="151">
        <f>R46</f>
        <v>60595</v>
      </c>
    </row>
    <row r="47" spans="1:19" ht="17.25" customHeight="1">
      <c r="A47" s="7"/>
      <c r="B47" s="89" t="s">
        <v>110</v>
      </c>
      <c r="C47" s="160">
        <f>+C48+C49</f>
        <v>249622</v>
      </c>
      <c r="D47" s="160">
        <f>+D48+D49</f>
        <v>262007</v>
      </c>
      <c r="E47" s="160">
        <f>+E48+E49</f>
        <v>260333</v>
      </c>
      <c r="F47" s="160">
        <f>+F48+F49</f>
        <v>264640</v>
      </c>
      <c r="G47" s="160">
        <f>+G48+G49</f>
        <v>262359</v>
      </c>
      <c r="H47" s="160">
        <f aca="true" t="shared" si="10" ref="H47:N47">+H48+H49</f>
        <v>250367</v>
      </c>
      <c r="I47" s="160">
        <f t="shared" si="10"/>
        <v>250367</v>
      </c>
      <c r="J47" s="160">
        <f t="shared" si="10"/>
        <v>253486</v>
      </c>
      <c r="K47" s="160">
        <f t="shared" si="10"/>
        <v>249984</v>
      </c>
      <c r="L47" s="160">
        <f t="shared" si="10"/>
        <v>260988</v>
      </c>
      <c r="M47" s="160">
        <f t="shared" si="10"/>
        <v>262985</v>
      </c>
      <c r="N47" s="160">
        <f t="shared" si="10"/>
        <v>262985</v>
      </c>
      <c r="O47" s="160">
        <f>+O48+O49</f>
        <v>262689</v>
      </c>
      <c r="P47" s="160">
        <f>+P48+P49</f>
        <v>272561</v>
      </c>
      <c r="Q47" s="160">
        <f>+Q48+Q49</f>
        <v>281954</v>
      </c>
      <c r="R47" s="160">
        <f>+R48+R49</f>
        <v>276571</v>
      </c>
      <c r="S47" s="160">
        <f>+S48+S49</f>
        <v>276571</v>
      </c>
    </row>
    <row r="48" spans="1:19" s="18" customFormat="1" ht="17.25" customHeight="1">
      <c r="A48" s="7"/>
      <c r="B48" s="143" t="s">
        <v>113</v>
      </c>
      <c r="C48" s="293">
        <v>203675</v>
      </c>
      <c r="D48" s="293">
        <v>210718</v>
      </c>
      <c r="E48" s="203">
        <v>207115</v>
      </c>
      <c r="F48" s="203">
        <v>210918</v>
      </c>
      <c r="G48" s="203">
        <v>207079</v>
      </c>
      <c r="H48" s="203">
        <v>194013</v>
      </c>
      <c r="I48" s="204">
        <v>194013</v>
      </c>
      <c r="J48" s="203">
        <v>197803</v>
      </c>
      <c r="K48" s="203">
        <v>193729</v>
      </c>
      <c r="L48" s="203">
        <v>201179</v>
      </c>
      <c r="M48" s="203">
        <v>203350</v>
      </c>
      <c r="N48" s="204">
        <v>203350</v>
      </c>
      <c r="O48" s="203">
        <v>203857</v>
      </c>
      <c r="P48" s="203">
        <v>212566</v>
      </c>
      <c r="Q48" s="203">
        <v>216795</v>
      </c>
      <c r="R48" s="203">
        <v>210662</v>
      </c>
      <c r="S48" s="204">
        <f>R48</f>
        <v>210662</v>
      </c>
    </row>
    <row r="49" spans="1:19" s="18" customFormat="1" ht="17.25" customHeight="1">
      <c r="A49" s="7"/>
      <c r="B49" s="142" t="s">
        <v>114</v>
      </c>
      <c r="C49" s="291">
        <v>45947</v>
      </c>
      <c r="D49" s="291">
        <v>51289</v>
      </c>
      <c r="E49" s="150">
        <v>53218</v>
      </c>
      <c r="F49" s="150">
        <v>53722</v>
      </c>
      <c r="G49" s="150">
        <v>55280</v>
      </c>
      <c r="H49" s="150">
        <v>56354</v>
      </c>
      <c r="I49" s="151">
        <v>56354</v>
      </c>
      <c r="J49" s="150">
        <v>55683</v>
      </c>
      <c r="K49" s="150">
        <v>56255</v>
      </c>
      <c r="L49" s="150">
        <v>59809</v>
      </c>
      <c r="M49" s="150">
        <v>59635</v>
      </c>
      <c r="N49" s="151">
        <v>59635</v>
      </c>
      <c r="O49" s="150">
        <v>58832</v>
      </c>
      <c r="P49" s="150">
        <v>59995</v>
      </c>
      <c r="Q49" s="150">
        <v>65159</v>
      </c>
      <c r="R49" s="150">
        <v>65909</v>
      </c>
      <c r="S49" s="151">
        <f>R49</f>
        <v>65909</v>
      </c>
    </row>
    <row r="50" spans="1:19" ht="17.25" customHeight="1" thickBot="1">
      <c r="A50" s="7"/>
      <c r="B50" s="58" t="s">
        <v>42</v>
      </c>
      <c r="C50" s="395">
        <v>2625</v>
      </c>
      <c r="D50" s="395">
        <v>2686</v>
      </c>
      <c r="E50" s="161">
        <v>2710</v>
      </c>
      <c r="F50" s="161">
        <v>2757</v>
      </c>
      <c r="G50" s="161">
        <v>2567</v>
      </c>
      <c r="H50" s="161">
        <v>2481</v>
      </c>
      <c r="I50" s="162">
        <f>+H50</f>
        <v>2481</v>
      </c>
      <c r="J50" s="161">
        <v>2445</v>
      </c>
      <c r="K50" s="161">
        <v>2295</v>
      </c>
      <c r="L50" s="161">
        <v>2407</v>
      </c>
      <c r="M50" s="161">
        <v>2471</v>
      </c>
      <c r="N50" s="162">
        <f>+M50</f>
        <v>2471</v>
      </c>
      <c r="O50" s="161">
        <v>2404</v>
      </c>
      <c r="P50" s="161">
        <v>2516</v>
      </c>
      <c r="Q50" s="161">
        <v>2488</v>
      </c>
      <c r="R50" s="161">
        <v>2409</v>
      </c>
      <c r="S50" s="162">
        <f>R50</f>
        <v>2409</v>
      </c>
    </row>
    <row r="51" spans="1:19" ht="17.25" customHeight="1">
      <c r="A51" s="7"/>
      <c r="B51" s="19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</row>
    <row r="52" spans="1:19" ht="17.25" customHeight="1">
      <c r="A52" s="7"/>
      <c r="B52" s="13" t="s">
        <v>3</v>
      </c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ht="17.25" customHeight="1">
      <c r="A53" s="7"/>
      <c r="B53" s="14" t="s">
        <v>65</v>
      </c>
      <c r="C53" s="294">
        <v>1760</v>
      </c>
      <c r="D53" s="294">
        <v>1780</v>
      </c>
      <c r="E53" s="164">
        <v>1690</v>
      </c>
      <c r="F53" s="164">
        <v>1670</v>
      </c>
      <c r="G53" s="164">
        <v>1680</v>
      </c>
      <c r="H53" s="164">
        <v>1680</v>
      </c>
      <c r="I53" s="165">
        <f aca="true" t="shared" si="11" ref="I53:I58">+H53</f>
        <v>1680</v>
      </c>
      <c r="J53" s="164">
        <v>1810</v>
      </c>
      <c r="K53" s="164">
        <v>1780</v>
      </c>
      <c r="L53" s="164">
        <v>1740</v>
      </c>
      <c r="M53" s="164">
        <v>1730</v>
      </c>
      <c r="N53" s="165">
        <f aca="true" t="shared" si="12" ref="N53:N58">+M53</f>
        <v>1730</v>
      </c>
      <c r="O53" s="164">
        <v>1560</v>
      </c>
      <c r="P53" s="164">
        <v>1630</v>
      </c>
      <c r="Q53" s="164">
        <v>1570</v>
      </c>
      <c r="R53" s="164">
        <v>1550</v>
      </c>
      <c r="S53" s="165">
        <f>+R53</f>
        <v>1550</v>
      </c>
    </row>
    <row r="54" spans="1:19" s="18" customFormat="1" ht="17.25" customHeight="1">
      <c r="A54" s="7"/>
      <c r="B54" s="16" t="s">
        <v>67</v>
      </c>
      <c r="C54" s="292">
        <v>1380</v>
      </c>
      <c r="D54" s="292">
        <v>1320</v>
      </c>
      <c r="E54" s="166">
        <v>1440</v>
      </c>
      <c r="F54" s="166">
        <v>1460</v>
      </c>
      <c r="G54" s="166">
        <v>1490</v>
      </c>
      <c r="H54" s="166">
        <v>1500</v>
      </c>
      <c r="I54" s="167">
        <f t="shared" si="11"/>
        <v>1500</v>
      </c>
      <c r="J54" s="166">
        <v>1390</v>
      </c>
      <c r="K54" s="166">
        <v>1390</v>
      </c>
      <c r="L54" s="166">
        <v>1360</v>
      </c>
      <c r="M54" s="166">
        <v>1320</v>
      </c>
      <c r="N54" s="167">
        <f t="shared" si="12"/>
        <v>1320</v>
      </c>
      <c r="O54" s="166">
        <v>1380</v>
      </c>
      <c r="P54" s="166">
        <v>1340</v>
      </c>
      <c r="Q54" s="166">
        <v>1320</v>
      </c>
      <c r="R54" s="166">
        <v>1300</v>
      </c>
      <c r="S54" s="167">
        <f>+R54</f>
        <v>1300</v>
      </c>
    </row>
    <row r="55" spans="1:19" s="18" customFormat="1" ht="17.25" customHeight="1">
      <c r="A55" s="7"/>
      <c r="B55" s="16" t="s">
        <v>66</v>
      </c>
      <c r="C55" s="292">
        <v>590</v>
      </c>
      <c r="D55" s="292">
        <v>590</v>
      </c>
      <c r="E55" s="166">
        <v>580</v>
      </c>
      <c r="F55" s="166">
        <v>600</v>
      </c>
      <c r="G55" s="166">
        <v>610</v>
      </c>
      <c r="H55" s="166">
        <v>610</v>
      </c>
      <c r="I55" s="167">
        <f t="shared" si="11"/>
        <v>610</v>
      </c>
      <c r="J55" s="166">
        <v>600</v>
      </c>
      <c r="K55" s="166">
        <v>620</v>
      </c>
      <c r="L55" s="166">
        <v>610</v>
      </c>
      <c r="M55" s="166">
        <v>590</v>
      </c>
      <c r="N55" s="167">
        <f t="shared" si="12"/>
        <v>590</v>
      </c>
      <c r="O55" s="166">
        <v>600</v>
      </c>
      <c r="P55" s="166">
        <v>600</v>
      </c>
      <c r="Q55" s="166">
        <v>640</v>
      </c>
      <c r="R55" s="166">
        <v>620</v>
      </c>
      <c r="S55" s="167">
        <f>+R55</f>
        <v>620</v>
      </c>
    </row>
    <row r="56" spans="1:19" s="18" customFormat="1" ht="17.25" customHeight="1">
      <c r="A56" s="7"/>
      <c r="B56" s="19" t="s">
        <v>68</v>
      </c>
      <c r="C56" s="295">
        <v>450</v>
      </c>
      <c r="D56" s="295">
        <v>390</v>
      </c>
      <c r="E56" s="168">
        <v>390</v>
      </c>
      <c r="F56" s="168">
        <v>390</v>
      </c>
      <c r="G56" s="168">
        <v>400</v>
      </c>
      <c r="H56" s="168">
        <v>400</v>
      </c>
      <c r="I56" s="163">
        <f t="shared" si="11"/>
        <v>400</v>
      </c>
      <c r="J56" s="168">
        <v>400</v>
      </c>
      <c r="K56" s="168">
        <v>420</v>
      </c>
      <c r="L56" s="168">
        <v>410</v>
      </c>
      <c r="M56" s="168">
        <v>400</v>
      </c>
      <c r="N56" s="163">
        <f t="shared" si="12"/>
        <v>400</v>
      </c>
      <c r="O56" s="168">
        <v>390</v>
      </c>
      <c r="P56" s="168">
        <v>390</v>
      </c>
      <c r="Q56" s="168">
        <v>430</v>
      </c>
      <c r="R56" s="168">
        <v>440</v>
      </c>
      <c r="S56" s="163">
        <f>+R56</f>
        <v>440</v>
      </c>
    </row>
    <row r="57" spans="1:19" ht="17.25" customHeight="1">
      <c r="A57" s="7"/>
      <c r="B57" s="28" t="s">
        <v>115</v>
      </c>
      <c r="C57" s="169">
        <f aca="true" t="shared" si="13" ref="C57:H57">SUM(C53:C56)</f>
        <v>4180</v>
      </c>
      <c r="D57" s="169">
        <f t="shared" si="13"/>
        <v>4080</v>
      </c>
      <c r="E57" s="169">
        <f t="shared" si="13"/>
        <v>4100</v>
      </c>
      <c r="F57" s="169">
        <f t="shared" si="13"/>
        <v>4120</v>
      </c>
      <c r="G57" s="169">
        <f t="shared" si="13"/>
        <v>4180</v>
      </c>
      <c r="H57" s="169">
        <f t="shared" si="13"/>
        <v>4190</v>
      </c>
      <c r="I57" s="169">
        <f t="shared" si="11"/>
        <v>4190</v>
      </c>
      <c r="J57" s="169">
        <f>SUM(J53:J56)</f>
        <v>4200</v>
      </c>
      <c r="K57" s="169">
        <f>SUM(K53:K56)</f>
        <v>4210</v>
      </c>
      <c r="L57" s="169">
        <f>SUM(L53:L56)</f>
        <v>4120</v>
      </c>
      <c r="M57" s="169">
        <f>SUM(M53:M56)</f>
        <v>4040</v>
      </c>
      <c r="N57" s="169">
        <f t="shared" si="12"/>
        <v>4040</v>
      </c>
      <c r="O57" s="169">
        <f>SUM(O53:O56)</f>
        <v>3930</v>
      </c>
      <c r="P57" s="169">
        <f>SUM(P53:P56)</f>
        <v>3960</v>
      </c>
      <c r="Q57" s="169">
        <f>SUM(Q53:Q56)</f>
        <v>3960</v>
      </c>
      <c r="R57" s="169">
        <f>SUM(R53:R56)</f>
        <v>3910</v>
      </c>
      <c r="S57" s="169">
        <f>SUM(S53:S56)</f>
        <v>3910</v>
      </c>
    </row>
    <row r="58" spans="1:19" ht="17.25" customHeight="1">
      <c r="A58" s="7"/>
      <c r="B58" s="27" t="s">
        <v>116</v>
      </c>
      <c r="C58" s="291">
        <v>490</v>
      </c>
      <c r="D58" s="291">
        <v>490</v>
      </c>
      <c r="E58" s="150">
        <v>500</v>
      </c>
      <c r="F58" s="150">
        <v>490</v>
      </c>
      <c r="G58" s="150">
        <v>500</v>
      </c>
      <c r="H58" s="150">
        <v>500</v>
      </c>
      <c r="I58" s="155">
        <f t="shared" si="11"/>
        <v>500</v>
      </c>
      <c r="J58" s="150">
        <v>490</v>
      </c>
      <c r="K58" s="150">
        <v>500</v>
      </c>
      <c r="L58" s="150">
        <v>500</v>
      </c>
      <c r="M58" s="150">
        <v>520</v>
      </c>
      <c r="N58" s="155">
        <f t="shared" si="12"/>
        <v>520</v>
      </c>
      <c r="O58" s="150">
        <v>540</v>
      </c>
      <c r="P58" s="150">
        <v>550</v>
      </c>
      <c r="Q58" s="150">
        <v>560</v>
      </c>
      <c r="R58" s="150">
        <v>560</v>
      </c>
      <c r="S58" s="155">
        <f>R58</f>
        <v>560</v>
      </c>
    </row>
    <row r="59" spans="1:19" ht="17.25" customHeight="1" thickBot="1">
      <c r="A59" s="7"/>
      <c r="B59" s="33" t="s">
        <v>3</v>
      </c>
      <c r="C59" s="156">
        <f>+C57+C58</f>
        <v>4670</v>
      </c>
      <c r="D59" s="156">
        <f>+D57+D58</f>
        <v>4570</v>
      </c>
      <c r="E59" s="156">
        <f>+E57+E58</f>
        <v>4600</v>
      </c>
      <c r="F59" s="156">
        <f>+F57+F58</f>
        <v>4610</v>
      </c>
      <c r="G59" s="156">
        <f>+G57+G58</f>
        <v>4680</v>
      </c>
      <c r="H59" s="156">
        <f aca="true" t="shared" si="14" ref="H59:N59">+H57+H58</f>
        <v>4690</v>
      </c>
      <c r="I59" s="156">
        <f t="shared" si="14"/>
        <v>4690</v>
      </c>
      <c r="J59" s="156">
        <f t="shared" si="14"/>
        <v>4690</v>
      </c>
      <c r="K59" s="156">
        <f t="shared" si="14"/>
        <v>4710</v>
      </c>
      <c r="L59" s="156">
        <f t="shared" si="14"/>
        <v>4620</v>
      </c>
      <c r="M59" s="156">
        <f t="shared" si="14"/>
        <v>4560</v>
      </c>
      <c r="N59" s="156">
        <f t="shared" si="14"/>
        <v>4560</v>
      </c>
      <c r="O59" s="156">
        <f>+O57+O58</f>
        <v>4470</v>
      </c>
      <c r="P59" s="156">
        <f>+P57+P58</f>
        <v>4510</v>
      </c>
      <c r="Q59" s="156">
        <f>+Q57+Q58</f>
        <v>4520</v>
      </c>
      <c r="R59" s="156">
        <f>+R57+R58</f>
        <v>4470</v>
      </c>
      <c r="S59" s="156">
        <f>+S57+S58</f>
        <v>4470</v>
      </c>
    </row>
    <row r="60" spans="1:19" ht="11.25" customHeight="1">
      <c r="A60" s="7"/>
      <c r="B60" s="3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ht="17.25" customHeight="1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7.25" customHeight="1">
      <c r="A62" s="287"/>
      <c r="B62" s="7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</row>
    <row r="63" spans="1:19" s="18" customFormat="1" ht="17.25" customHeight="1">
      <c r="A63" s="195"/>
      <c r="B63" s="286" t="s">
        <v>207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73" ht="11.25" customHeight="1"/>
    <row r="81" ht="13.5" customHeight="1"/>
    <row r="97" ht="11.25" customHeight="1"/>
  </sheetData>
  <sheetProtection/>
  <mergeCells count="1">
    <mergeCell ref="B1:B2"/>
  </mergeCells>
  <conditionalFormatting sqref="C35 C40:N40 C13:N13 C14:S14">
    <cfRule type="cellIs" priority="9" dxfId="0" operator="equal" stopIfTrue="1">
      <formula>"Error"</formula>
    </cfRule>
  </conditionalFormatting>
  <conditionalFormatting sqref="O40 O13">
    <cfRule type="cellIs" priority="8" dxfId="0" operator="equal" stopIfTrue="1">
      <formula>"Error"</formula>
    </cfRule>
  </conditionalFormatting>
  <conditionalFormatting sqref="P40 P13">
    <cfRule type="cellIs" priority="7" dxfId="0" operator="equal" stopIfTrue="1">
      <formula>"Error"</formula>
    </cfRule>
  </conditionalFormatting>
  <conditionalFormatting sqref="Q40:S40 Q13:R13">
    <cfRule type="cellIs" priority="6" dxfId="0" operator="equal" stopIfTrue="1">
      <formula>"Error"</formula>
    </cfRule>
  </conditionalFormatting>
  <conditionalFormatting sqref="S13">
    <cfRule type="cellIs" priority="3" dxfId="0" operator="equal" stopIfTrue="1">
      <formula>"Error"</formula>
    </cfRule>
  </conditionalFormatting>
  <conditionalFormatting sqref="D35:S35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50" max="255" man="1"/>
  </rowBreaks>
  <ignoredErrors>
    <ignoredError sqref="I33 C4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4" width="11.57421875" style="1" customWidth="1"/>
    <col min="25" max="16384" width="1.7109375" style="1" customWidth="1"/>
  </cols>
  <sheetData>
    <row r="1" spans="1:19" ht="26.25" customHeight="1">
      <c r="A1" s="2"/>
      <c r="B1" s="408" t="s">
        <v>197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9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ht="17.25" customHeight="1">
      <c r="A3" s="7"/>
      <c r="B3" s="145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17.25" customHeight="1" thickBot="1">
      <c r="A4" s="7"/>
      <c r="B4" s="9" t="s">
        <v>198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7"/>
      <c r="B6" s="74" t="s">
        <v>182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17.25" customHeight="1">
      <c r="A7" s="7"/>
      <c r="B7" s="28" t="s">
        <v>117</v>
      </c>
      <c r="C7" s="299">
        <v>658.5</v>
      </c>
      <c r="D7" s="299">
        <v>759.7</v>
      </c>
      <c r="E7" s="299">
        <v>780.3</v>
      </c>
      <c r="F7" s="299">
        <v>762.4</v>
      </c>
      <c r="G7" s="299">
        <v>768.3</v>
      </c>
      <c r="H7" s="299">
        <v>763.1</v>
      </c>
      <c r="I7" s="175">
        <f>+H7</f>
        <v>763.1</v>
      </c>
      <c r="J7" s="299">
        <v>779.2</v>
      </c>
      <c r="K7" s="299">
        <v>743.5</v>
      </c>
      <c r="L7" s="299">
        <v>721.8</v>
      </c>
      <c r="M7" s="299">
        <v>750.2</v>
      </c>
      <c r="N7" s="175">
        <f>+M7</f>
        <v>750.2</v>
      </c>
      <c r="O7" s="299">
        <v>772.2</v>
      </c>
      <c r="P7" s="299">
        <v>774.1</v>
      </c>
      <c r="Q7" s="299">
        <v>803.3</v>
      </c>
      <c r="R7" s="299">
        <v>798.5</v>
      </c>
      <c r="S7" s="175">
        <f>+R7</f>
        <v>798.5</v>
      </c>
    </row>
    <row r="8" spans="1:19" ht="17.25" customHeight="1">
      <c r="A8" s="7"/>
      <c r="B8" s="28" t="s">
        <v>118</v>
      </c>
      <c r="C8" s="299">
        <v>154.3</v>
      </c>
      <c r="D8" s="299">
        <v>182.6</v>
      </c>
      <c r="E8" s="181">
        <v>194</v>
      </c>
      <c r="F8" s="181">
        <v>190.6</v>
      </c>
      <c r="G8" s="181">
        <v>193.3</v>
      </c>
      <c r="H8" s="181">
        <v>195.9</v>
      </c>
      <c r="I8" s="175">
        <f>+H8</f>
        <v>195.9</v>
      </c>
      <c r="J8" s="181">
        <v>201.4</v>
      </c>
      <c r="K8" s="181">
        <v>199.5</v>
      </c>
      <c r="L8" s="181">
        <v>195.2</v>
      </c>
      <c r="M8" s="181">
        <v>203</v>
      </c>
      <c r="N8" s="175">
        <f>+M8</f>
        <v>203</v>
      </c>
      <c r="O8" s="181">
        <v>211.3</v>
      </c>
      <c r="P8" s="181">
        <v>213.8</v>
      </c>
      <c r="Q8" s="181">
        <v>220.3</v>
      </c>
      <c r="R8" s="181">
        <v>223.8</v>
      </c>
      <c r="S8" s="175">
        <f>+R8</f>
        <v>223.8</v>
      </c>
    </row>
    <row r="9" spans="1:19" ht="17.25" customHeight="1">
      <c r="A9" s="7"/>
      <c r="B9" s="354" t="s">
        <v>23</v>
      </c>
      <c r="C9" s="374">
        <v>373.5</v>
      </c>
      <c r="D9" s="374">
        <v>373.3</v>
      </c>
      <c r="E9" s="375">
        <v>389.8</v>
      </c>
      <c r="F9" s="375">
        <v>378.6</v>
      </c>
      <c r="G9" s="375">
        <v>380.2</v>
      </c>
      <c r="H9" s="375">
        <v>382</v>
      </c>
      <c r="I9" s="175">
        <f>+H9</f>
        <v>382</v>
      </c>
      <c r="J9" s="375">
        <v>393.4</v>
      </c>
      <c r="K9" s="375">
        <v>379.2</v>
      </c>
      <c r="L9" s="375">
        <v>365.2</v>
      </c>
      <c r="M9" s="375">
        <v>365.2</v>
      </c>
      <c r="N9" s="175">
        <f>+M9</f>
        <v>365.2</v>
      </c>
      <c r="O9" s="375">
        <v>360.8</v>
      </c>
      <c r="P9" s="375">
        <v>360.5</v>
      </c>
      <c r="Q9" s="375">
        <v>368.9</v>
      </c>
      <c r="R9" s="375">
        <v>371.6</v>
      </c>
      <c r="S9" s="175">
        <f>+R9</f>
        <v>371.6</v>
      </c>
    </row>
    <row r="10" spans="1:19" ht="17.25" customHeight="1">
      <c r="A10" s="7"/>
      <c r="B10" s="354" t="s">
        <v>205</v>
      </c>
      <c r="C10" s="374">
        <v>-119.7</v>
      </c>
      <c r="D10" s="374">
        <v>-130.8</v>
      </c>
      <c r="E10" s="375">
        <v>-140.2</v>
      </c>
      <c r="F10" s="375">
        <v>-136</v>
      </c>
      <c r="G10" s="375">
        <v>-137.9</v>
      </c>
      <c r="H10" s="375">
        <v>-135.7</v>
      </c>
      <c r="I10" s="175">
        <f>+H10</f>
        <v>-135.7</v>
      </c>
      <c r="J10" s="375">
        <v>-141.1</v>
      </c>
      <c r="K10" s="375">
        <v>-135.9</v>
      </c>
      <c r="L10" s="375">
        <v>-130.8</v>
      </c>
      <c r="M10" s="375">
        <v>-133.2</v>
      </c>
      <c r="N10" s="175">
        <f>+M10</f>
        <v>-133.2</v>
      </c>
      <c r="O10" s="375">
        <v>-139.5</v>
      </c>
      <c r="P10" s="375">
        <v>-135.3</v>
      </c>
      <c r="Q10" s="375">
        <v>-141.8</v>
      </c>
      <c r="R10" s="375">
        <v>-143.1</v>
      </c>
      <c r="S10" s="175">
        <f>+R10</f>
        <v>-143.1</v>
      </c>
    </row>
    <row r="11" spans="1:19" ht="17.25" customHeight="1" thickBot="1">
      <c r="A11" s="7"/>
      <c r="B11" s="76" t="s">
        <v>72</v>
      </c>
      <c r="C11" s="182">
        <f aca="true" t="shared" si="0" ref="C11:H11">+C7+C8+C9+C10</f>
        <v>1066.6</v>
      </c>
      <c r="D11" s="182">
        <f t="shared" si="0"/>
        <v>1184.8</v>
      </c>
      <c r="E11" s="182">
        <f t="shared" si="0"/>
        <v>1223.9</v>
      </c>
      <c r="F11" s="182">
        <f t="shared" si="0"/>
        <v>1195.6</v>
      </c>
      <c r="G11" s="182">
        <f t="shared" si="0"/>
        <v>1203.9</v>
      </c>
      <c r="H11" s="182">
        <f t="shared" si="0"/>
        <v>1205.3</v>
      </c>
      <c r="I11" s="182">
        <f>+H11</f>
        <v>1205.3</v>
      </c>
      <c r="J11" s="182">
        <f>+J7+J8+J9+J10</f>
        <v>1232.9</v>
      </c>
      <c r="K11" s="182">
        <f>+K7+K8+K9+K10</f>
        <v>1186.3</v>
      </c>
      <c r="L11" s="182">
        <f>+L7+L8+L9+L10</f>
        <v>1151.4</v>
      </c>
      <c r="M11" s="182">
        <f>+M7+M8+M9+M10</f>
        <v>1185.2</v>
      </c>
      <c r="N11" s="182">
        <f>+M11</f>
        <v>1185.2</v>
      </c>
      <c r="O11" s="182">
        <f>+O7+O8+O9+O10</f>
        <v>1204.8</v>
      </c>
      <c r="P11" s="182">
        <f>+P7+P8+P9+P10</f>
        <v>1213.1</v>
      </c>
      <c r="Q11" s="182">
        <f>+Q7+Q8+Q9+Q10</f>
        <v>1250.7</v>
      </c>
      <c r="R11" s="182">
        <f>R7+R8+R9+R10</f>
        <v>1250.8</v>
      </c>
      <c r="S11" s="182">
        <f>+R11</f>
        <v>1250.8</v>
      </c>
    </row>
    <row r="12" spans="1:19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17.25" customHeight="1">
      <c r="A13" s="7"/>
      <c r="B13" s="74" t="s">
        <v>180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ht="17.25" customHeight="1">
      <c r="A14" s="7"/>
      <c r="B14" s="28" t="s">
        <v>117</v>
      </c>
      <c r="C14" s="175">
        <v>40.1</v>
      </c>
      <c r="D14" s="175">
        <v>32.6</v>
      </c>
      <c r="E14" s="175">
        <v>11.2</v>
      </c>
      <c r="F14" s="175">
        <v>11.8</v>
      </c>
      <c r="G14" s="175">
        <v>11.7</v>
      </c>
      <c r="H14" s="175">
        <v>5.9</v>
      </c>
      <c r="I14" s="175">
        <f>SUM(E14:H14)</f>
        <v>40.6</v>
      </c>
      <c r="J14" s="175">
        <v>14.2</v>
      </c>
      <c r="K14" s="175">
        <v>11.6</v>
      </c>
      <c r="L14" s="175">
        <v>6.7</v>
      </c>
      <c r="M14" s="175">
        <v>4.9</v>
      </c>
      <c r="N14" s="175">
        <f>SUM(J14:M14)</f>
        <v>37.4</v>
      </c>
      <c r="O14" s="175">
        <v>5.5</v>
      </c>
      <c r="P14" s="175">
        <v>5.5</v>
      </c>
      <c r="Q14" s="175">
        <v>5.1</v>
      </c>
      <c r="R14" s="175">
        <v>2.9</v>
      </c>
      <c r="S14" s="175">
        <f>SUM(O14:R14)</f>
        <v>19</v>
      </c>
    </row>
    <row r="15" spans="1:19" ht="17.25" customHeight="1">
      <c r="A15" s="7"/>
      <c r="B15" s="354" t="s">
        <v>181</v>
      </c>
      <c r="C15" s="299">
        <v>-18.9</v>
      </c>
      <c r="D15" s="299">
        <v>7.2</v>
      </c>
      <c r="E15" s="181">
        <v>6.4</v>
      </c>
      <c r="F15" s="181">
        <v>0.7</v>
      </c>
      <c r="G15" s="181">
        <v>-0.1</v>
      </c>
      <c r="H15" s="181">
        <v>1</v>
      </c>
      <c r="I15" s="175">
        <f>SUM(E15:H15)</f>
        <v>8</v>
      </c>
      <c r="J15" s="181">
        <v>1.8</v>
      </c>
      <c r="K15" s="373">
        <v>0.3</v>
      </c>
      <c r="L15" s="373">
        <v>0.6</v>
      </c>
      <c r="M15" s="373">
        <v>2.6</v>
      </c>
      <c r="N15" s="175">
        <f>SUM(J15:M15)</f>
        <v>5.3</v>
      </c>
      <c r="O15" s="181">
        <v>2.4</v>
      </c>
      <c r="P15" s="181">
        <v>-2.1</v>
      </c>
      <c r="Q15" s="181">
        <v>0.1</v>
      </c>
      <c r="R15" s="181">
        <v>1.1</v>
      </c>
      <c r="S15" s="175">
        <f>SUM(O15:R15)</f>
        <v>1.5</v>
      </c>
    </row>
    <row r="16" spans="1:19" ht="17.25" customHeight="1">
      <c r="A16" s="7"/>
      <c r="B16" s="354" t="s">
        <v>23</v>
      </c>
      <c r="C16" s="374">
        <v>-36.9</v>
      </c>
      <c r="D16" s="374">
        <v>-1.6</v>
      </c>
      <c r="E16" s="375">
        <v>10.2</v>
      </c>
      <c r="F16" s="375">
        <v>0.7</v>
      </c>
      <c r="G16" s="375">
        <v>5.6</v>
      </c>
      <c r="H16" s="375">
        <v>3.7</v>
      </c>
      <c r="I16" s="175">
        <f>SUM(E16:H16)</f>
        <v>20.2</v>
      </c>
      <c r="J16" s="375">
        <v>6.5</v>
      </c>
      <c r="K16" s="376">
        <v>3.9</v>
      </c>
      <c r="L16" s="376">
        <v>1.5</v>
      </c>
      <c r="M16" s="376">
        <v>-6.7</v>
      </c>
      <c r="N16" s="175">
        <f>SUM(J16:M16)</f>
        <v>5.2</v>
      </c>
      <c r="O16" s="375">
        <v>-11.4</v>
      </c>
      <c r="P16" s="375">
        <v>0.4</v>
      </c>
      <c r="Q16" s="375">
        <v>-0.5</v>
      </c>
      <c r="R16" s="375">
        <v>2.5</v>
      </c>
      <c r="S16" s="175">
        <f>SUM(O16:R16)</f>
        <v>-9</v>
      </c>
    </row>
    <row r="17" spans="1:19" ht="16.5" customHeight="1">
      <c r="A17" s="7"/>
      <c r="B17" s="354" t="s">
        <v>205</v>
      </c>
      <c r="C17" s="374">
        <v>5</v>
      </c>
      <c r="D17" s="374">
        <v>3.5</v>
      </c>
      <c r="E17" s="375">
        <v>-4.9</v>
      </c>
      <c r="F17" s="375">
        <v>-0.3</v>
      </c>
      <c r="G17" s="375">
        <v>-1.4</v>
      </c>
      <c r="H17" s="375">
        <v>0.2</v>
      </c>
      <c r="I17" s="175">
        <f>SUM(E17:H17)</f>
        <v>-6.4</v>
      </c>
      <c r="J17" s="375">
        <v>-2.6</v>
      </c>
      <c r="K17" s="376">
        <v>-1.6</v>
      </c>
      <c r="L17" s="376">
        <v>-0.8</v>
      </c>
      <c r="M17" s="376">
        <v>3.7</v>
      </c>
      <c r="N17" s="175">
        <f>SUM(J17:M17)</f>
        <v>-1.3</v>
      </c>
      <c r="O17" s="375">
        <v>-2.2</v>
      </c>
      <c r="P17" s="375">
        <v>0.6</v>
      </c>
      <c r="Q17" s="375">
        <v>0.6</v>
      </c>
      <c r="R17" s="375">
        <v>0.3</v>
      </c>
      <c r="S17" s="175">
        <f>SUM(O17:R17)</f>
        <v>-0.7</v>
      </c>
    </row>
    <row r="18" spans="1:19" ht="17.25" customHeight="1" thickBot="1">
      <c r="A18" s="7"/>
      <c r="B18" s="73" t="s">
        <v>60</v>
      </c>
      <c r="C18" s="182">
        <f>C14+C15+C16+C17</f>
        <v>-10.7</v>
      </c>
      <c r="D18" s="182">
        <f aca="true" t="shared" si="1" ref="D18:Q18">D14+D15+D16+D17</f>
        <v>41.7</v>
      </c>
      <c r="E18" s="182">
        <f t="shared" si="1"/>
        <v>22.9</v>
      </c>
      <c r="F18" s="182">
        <f t="shared" si="1"/>
        <v>12.9</v>
      </c>
      <c r="G18" s="182">
        <f t="shared" si="1"/>
        <v>15.8</v>
      </c>
      <c r="H18" s="182">
        <f t="shared" si="1"/>
        <v>10.8</v>
      </c>
      <c r="I18" s="182">
        <f t="shared" si="1"/>
        <v>62.4</v>
      </c>
      <c r="J18" s="182">
        <f t="shared" si="1"/>
        <v>19.9</v>
      </c>
      <c r="K18" s="182">
        <f t="shared" si="1"/>
        <v>14.2</v>
      </c>
      <c r="L18" s="182">
        <f t="shared" si="1"/>
        <v>8</v>
      </c>
      <c r="M18" s="182">
        <f t="shared" si="1"/>
        <v>4.5</v>
      </c>
      <c r="N18" s="182">
        <f t="shared" si="1"/>
        <v>46.6</v>
      </c>
      <c r="O18" s="182">
        <f t="shared" si="1"/>
        <v>-5.7</v>
      </c>
      <c r="P18" s="182">
        <f t="shared" si="1"/>
        <v>4.4</v>
      </c>
      <c r="Q18" s="182">
        <f t="shared" si="1"/>
        <v>5.3</v>
      </c>
      <c r="R18" s="182">
        <f>R14+R15+R16+R17</f>
        <v>6.8</v>
      </c>
      <c r="S18" s="182">
        <f>S14+S15+S16+S17</f>
        <v>10.8</v>
      </c>
    </row>
    <row r="19" spans="1:19" ht="11.25" customHeight="1">
      <c r="A19" s="7"/>
      <c r="B19" s="141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 t="s">
        <v>173</v>
      </c>
      <c r="P19" s="139" t="s">
        <v>173</v>
      </c>
      <c r="Q19" s="139" t="s">
        <v>173</v>
      </c>
      <c r="R19" s="139" t="s">
        <v>173</v>
      </c>
      <c r="S19" s="139"/>
    </row>
    <row r="20" spans="1:19" ht="17.25" customHeight="1">
      <c r="A20" s="34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7.25" customHeight="1">
      <c r="A21" s="194"/>
      <c r="B21" s="289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</row>
    <row r="22" spans="1:19" s="18" customFormat="1" ht="17.25" customHeight="1">
      <c r="A22" s="195"/>
      <c r="B22" s="286" t="s">
        <v>207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7.25" customHeight="1">
      <c r="A23" s="194" t="s">
        <v>93</v>
      </c>
      <c r="B23" s="289" t="s">
        <v>206</v>
      </c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</row>
    <row r="32" ht="11.25" customHeight="1"/>
    <row r="40" ht="13.5" customHeight="1"/>
    <row r="56" ht="11.25" customHeight="1"/>
  </sheetData>
  <sheetProtection/>
  <mergeCells count="1">
    <mergeCell ref="B1:B2"/>
  </mergeCells>
  <conditionalFormatting sqref="C11:N11">
    <cfRule type="cellIs" priority="8" dxfId="0" operator="equal" stopIfTrue="1">
      <formula>"Error"</formula>
    </cfRule>
  </conditionalFormatting>
  <conditionalFormatting sqref="O11:R11">
    <cfRule type="cellIs" priority="2" dxfId="0" operator="equal" stopIfTrue="1">
      <formula>"Error"</formula>
    </cfRule>
  </conditionalFormatting>
  <conditionalFormatting sqref="S1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  <ignoredErrors>
    <ignoredError sqref="I14:I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0.28125" style="1" customWidth="1"/>
    <col min="3" max="24" width="11.57421875" style="1" customWidth="1"/>
    <col min="25" max="16384" width="1.7109375" style="1" customWidth="1"/>
  </cols>
  <sheetData>
    <row r="1" spans="1:19" ht="28.5" customHeight="1">
      <c r="A1" s="2"/>
      <c r="B1" s="408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7"/>
      <c r="B6" s="13" t="s">
        <v>95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</row>
    <row r="7" spans="1:19" s="18" customFormat="1" ht="17.25" customHeight="1" thickBot="1">
      <c r="A7" s="7"/>
      <c r="B7" s="26" t="s">
        <v>11</v>
      </c>
      <c r="C7" s="171">
        <v>11005</v>
      </c>
      <c r="D7" s="171">
        <v>10360</v>
      </c>
      <c r="E7" s="170">
        <v>2559</v>
      </c>
      <c r="F7" s="170">
        <v>2587</v>
      </c>
      <c r="G7" s="170">
        <v>2424</v>
      </c>
      <c r="H7" s="170">
        <v>2469</v>
      </c>
      <c r="I7" s="147">
        <f>SUM(E7:H7)</f>
        <v>10039</v>
      </c>
      <c r="J7" s="170">
        <v>2488</v>
      </c>
      <c r="K7" s="330">
        <v>2282</v>
      </c>
      <c r="L7" s="170">
        <v>2196</v>
      </c>
      <c r="M7" s="170">
        <v>2119</v>
      </c>
      <c r="N7" s="147">
        <f>SUM(J7:M7)</f>
        <v>9085</v>
      </c>
      <c r="O7" s="170">
        <v>2247</v>
      </c>
      <c r="P7" s="170">
        <v>2312</v>
      </c>
      <c r="Q7" s="170">
        <v>2184</v>
      </c>
      <c r="R7" s="170">
        <v>2209</v>
      </c>
      <c r="S7" s="147">
        <f>SUM(O7:R7)</f>
        <v>8952</v>
      </c>
    </row>
    <row r="8" spans="1:19" s="18" customFormat="1" ht="17.25" customHeight="1" thickBot="1">
      <c r="A8" s="7"/>
      <c r="B8" s="26" t="s">
        <v>12</v>
      </c>
      <c r="C8" s="171">
        <v>140</v>
      </c>
      <c r="D8" s="171">
        <v>31</v>
      </c>
      <c r="E8" s="170">
        <v>31</v>
      </c>
      <c r="F8" s="170">
        <v>16</v>
      </c>
      <c r="G8" s="170">
        <v>8</v>
      </c>
      <c r="H8" s="170">
        <v>14</v>
      </c>
      <c r="I8" s="147">
        <f>SUM(E8:H8)</f>
        <v>69</v>
      </c>
      <c r="J8" s="170">
        <v>12</v>
      </c>
      <c r="K8" s="330">
        <v>8</v>
      </c>
      <c r="L8" s="170">
        <v>21</v>
      </c>
      <c r="M8" s="170">
        <v>37</v>
      </c>
      <c r="N8" s="147">
        <f>SUM(J8:M8)</f>
        <v>78</v>
      </c>
      <c r="O8" s="170">
        <v>20</v>
      </c>
      <c r="P8" s="170">
        <v>29</v>
      </c>
      <c r="Q8" s="170">
        <v>25</v>
      </c>
      <c r="R8" s="170">
        <v>36</v>
      </c>
      <c r="S8" s="147">
        <f>SUM(O8:R8)</f>
        <v>110</v>
      </c>
    </row>
    <row r="9" spans="1:19" s="18" customFormat="1" ht="17.25" customHeight="1" thickBot="1">
      <c r="A9" s="7"/>
      <c r="B9" s="26" t="s">
        <v>17</v>
      </c>
      <c r="C9" s="171">
        <v>8142</v>
      </c>
      <c r="D9" s="171">
        <v>7116</v>
      </c>
      <c r="E9" s="171">
        <v>1800</v>
      </c>
      <c r="F9" s="171">
        <v>1903</v>
      </c>
      <c r="G9" s="171">
        <v>1797</v>
      </c>
      <c r="H9" s="171">
        <v>1865</v>
      </c>
      <c r="I9" s="147">
        <f>SUM(E9:H9)</f>
        <v>7365</v>
      </c>
      <c r="J9" s="171">
        <v>1830</v>
      </c>
      <c r="K9" s="328">
        <v>1750</v>
      </c>
      <c r="L9" s="171">
        <v>2170</v>
      </c>
      <c r="M9" s="171">
        <v>1811</v>
      </c>
      <c r="N9" s="147">
        <f>SUM(J9:M9)</f>
        <v>7561</v>
      </c>
      <c r="O9" s="171">
        <v>1786</v>
      </c>
      <c r="P9" s="171">
        <v>1691</v>
      </c>
      <c r="Q9" s="171">
        <v>1661</v>
      </c>
      <c r="R9" s="171">
        <v>1683</v>
      </c>
      <c r="S9" s="147">
        <f>SUM(O9:R9)</f>
        <v>6821</v>
      </c>
    </row>
    <row r="10" spans="1:19" s="18" customFormat="1" ht="17.25" customHeight="1" thickBot="1">
      <c r="A10" s="7"/>
      <c r="B10" s="39" t="s">
        <v>91</v>
      </c>
      <c r="C10" s="172">
        <f>C7-C8-C9</f>
        <v>2723</v>
      </c>
      <c r="D10" s="172">
        <f>D7-D8-D9</f>
        <v>3213</v>
      </c>
      <c r="E10" s="172">
        <f>E7-E8-E9</f>
        <v>728</v>
      </c>
      <c r="F10" s="172">
        <f>F7-F8-F9</f>
        <v>668</v>
      </c>
      <c r="G10" s="172">
        <f>G7-G8-G9</f>
        <v>619</v>
      </c>
      <c r="H10" s="172">
        <f aca="true" t="shared" si="0" ref="H10:N10">H7-H8-H9</f>
        <v>590</v>
      </c>
      <c r="I10" s="172">
        <f t="shared" si="0"/>
        <v>2605</v>
      </c>
      <c r="J10" s="172">
        <f t="shared" si="0"/>
        <v>646</v>
      </c>
      <c r="K10" s="331">
        <f t="shared" si="0"/>
        <v>524</v>
      </c>
      <c r="L10" s="172">
        <f t="shared" si="0"/>
        <v>5</v>
      </c>
      <c r="M10" s="172">
        <f t="shared" si="0"/>
        <v>271</v>
      </c>
      <c r="N10" s="172">
        <f t="shared" si="0"/>
        <v>1446</v>
      </c>
      <c r="O10" s="172">
        <f>O7-O8-O9</f>
        <v>441</v>
      </c>
      <c r="P10" s="172">
        <f>P7-P8-P9</f>
        <v>592</v>
      </c>
      <c r="Q10" s="172">
        <f>Q7-Q8-Q9</f>
        <v>498</v>
      </c>
      <c r="R10" s="172">
        <f>R7-R8-R9</f>
        <v>490</v>
      </c>
      <c r="S10" s="172">
        <f>S7-S8-S9</f>
        <v>2021</v>
      </c>
    </row>
    <row r="11" spans="1:19" s="18" customFormat="1" ht="17.25" customHeight="1">
      <c r="A11" s="7"/>
      <c r="B11" s="141"/>
      <c r="C11" s="45"/>
      <c r="D11" s="45"/>
      <c r="E11" s="45"/>
      <c r="F11" s="45"/>
      <c r="G11" s="45"/>
      <c r="H11" s="45"/>
      <c r="I11" s="45"/>
      <c r="J11" s="45"/>
      <c r="K11" s="332"/>
      <c r="L11" s="45"/>
      <c r="M11" s="45"/>
      <c r="N11" s="45"/>
      <c r="O11" s="45"/>
      <c r="P11" s="45"/>
      <c r="Q11" s="45"/>
      <c r="R11" s="45"/>
      <c r="S11" s="45"/>
    </row>
    <row r="12" spans="1:19" ht="17.25" customHeight="1">
      <c r="A12" s="7"/>
      <c r="B12" s="13" t="s">
        <v>96</v>
      </c>
      <c r="C12" s="15"/>
      <c r="D12" s="15"/>
      <c r="E12" s="15"/>
      <c r="F12" s="15"/>
      <c r="G12" s="15"/>
      <c r="H12" s="15"/>
      <c r="I12" s="15"/>
      <c r="J12" s="15"/>
      <c r="K12" s="326"/>
      <c r="L12" s="15"/>
      <c r="M12" s="15"/>
      <c r="N12" s="15"/>
      <c r="O12" s="15"/>
      <c r="P12" s="15"/>
      <c r="Q12" s="15"/>
      <c r="R12" s="15"/>
      <c r="S12" s="15"/>
    </row>
    <row r="13" spans="1:19" ht="17.25" customHeight="1">
      <c r="A13" s="7"/>
      <c r="B13" s="28" t="s">
        <v>36</v>
      </c>
      <c r="C13" s="175">
        <f>+C9/C7*100</f>
        <v>74</v>
      </c>
      <c r="D13" s="175">
        <f>+D9/D7*100</f>
        <v>68.7</v>
      </c>
      <c r="E13" s="175">
        <f>+E9/E7*100</f>
        <v>70.3</v>
      </c>
      <c r="F13" s="175">
        <f>+F9/F7*100</f>
        <v>73.6</v>
      </c>
      <c r="G13" s="175">
        <f>+G9/G7*100</f>
        <v>74.1</v>
      </c>
      <c r="H13" s="175">
        <f aca="true" t="shared" si="1" ref="H13:N13">+H9/H7*100</f>
        <v>75.5</v>
      </c>
      <c r="I13" s="175">
        <f t="shared" si="1"/>
        <v>73.4</v>
      </c>
      <c r="J13" s="175">
        <f t="shared" si="1"/>
        <v>73.6</v>
      </c>
      <c r="K13" s="333">
        <f t="shared" si="1"/>
        <v>76.7</v>
      </c>
      <c r="L13" s="175">
        <f t="shared" si="1"/>
        <v>98.8</v>
      </c>
      <c r="M13" s="175">
        <f t="shared" si="1"/>
        <v>85.5</v>
      </c>
      <c r="N13" s="175">
        <f t="shared" si="1"/>
        <v>83.2</v>
      </c>
      <c r="O13" s="175">
        <f>+O9/O7*100</f>
        <v>79.5</v>
      </c>
      <c r="P13" s="175">
        <f>+P9/P7*100</f>
        <v>73.1</v>
      </c>
      <c r="Q13" s="175">
        <f>+Q9/Q7*100</f>
        <v>76.1</v>
      </c>
      <c r="R13" s="175">
        <f>+R9/R7*100</f>
        <v>76.2</v>
      </c>
      <c r="S13" s="175">
        <f>+S9/S7*100</f>
        <v>76.2</v>
      </c>
    </row>
    <row r="14" spans="1:19" ht="17.25" customHeight="1" thickBot="1">
      <c r="A14" s="7"/>
      <c r="B14" s="58" t="s">
        <v>37</v>
      </c>
      <c r="C14" s="176">
        <f>+C10/C7*100</f>
        <v>24.7</v>
      </c>
      <c r="D14" s="176">
        <f>+D10/D7*100</f>
        <v>31</v>
      </c>
      <c r="E14" s="176">
        <f>+E10/E7*100</f>
        <v>28.4</v>
      </c>
      <c r="F14" s="176">
        <f>+F10/F7*100</f>
        <v>25.8</v>
      </c>
      <c r="G14" s="176">
        <f>+G10/G7*100</f>
        <v>25.5</v>
      </c>
      <c r="H14" s="176">
        <f aca="true" t="shared" si="2" ref="H14:N14">+H10/H7*100</f>
        <v>23.9</v>
      </c>
      <c r="I14" s="176">
        <f t="shared" si="2"/>
        <v>25.9</v>
      </c>
      <c r="J14" s="176">
        <f t="shared" si="2"/>
        <v>26</v>
      </c>
      <c r="K14" s="334">
        <f t="shared" si="2"/>
        <v>23</v>
      </c>
      <c r="L14" s="176">
        <f t="shared" si="2"/>
        <v>0.2</v>
      </c>
      <c r="M14" s="176">
        <f t="shared" si="2"/>
        <v>12.8</v>
      </c>
      <c r="N14" s="176">
        <f t="shared" si="2"/>
        <v>15.9</v>
      </c>
      <c r="O14" s="176">
        <f>+O10/O7*100</f>
        <v>19.6</v>
      </c>
      <c r="P14" s="176">
        <f>+P10/P7*100</f>
        <v>25.6</v>
      </c>
      <c r="Q14" s="176">
        <f>+Q10/Q7*100</f>
        <v>22.8</v>
      </c>
      <c r="R14" s="176">
        <f>+R10/R7*100</f>
        <v>22.2</v>
      </c>
      <c r="S14" s="176">
        <f>+S10/S7*100</f>
        <v>22.6</v>
      </c>
    </row>
    <row r="15" spans="1:19" s="18" customFormat="1" ht="17.25" customHeight="1">
      <c r="A15" s="7"/>
      <c r="B15" s="141"/>
      <c r="C15" s="45"/>
      <c r="D15" s="45"/>
      <c r="E15" s="45"/>
      <c r="F15" s="45"/>
      <c r="G15" s="45"/>
      <c r="H15" s="45"/>
      <c r="I15" s="45"/>
      <c r="J15" s="45"/>
      <c r="K15" s="332"/>
      <c r="L15" s="45"/>
      <c r="M15" s="45"/>
      <c r="N15" s="45"/>
      <c r="O15" s="45"/>
      <c r="P15" s="45"/>
      <c r="Q15" s="45"/>
      <c r="R15" s="45"/>
      <c r="S15" s="45"/>
    </row>
    <row r="16" spans="1:19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326"/>
      <c r="L16" s="15"/>
      <c r="M16" s="15"/>
      <c r="N16" s="15"/>
      <c r="O16" s="15"/>
      <c r="P16" s="15"/>
      <c r="Q16" s="15"/>
      <c r="R16" s="15"/>
      <c r="S16" s="15"/>
    </row>
    <row r="17" spans="1:19" s="18" customFormat="1" ht="17.25" customHeight="1">
      <c r="A17" s="7"/>
      <c r="B17" s="24" t="s">
        <v>7</v>
      </c>
      <c r="C17" s="290">
        <v>3686</v>
      </c>
      <c r="D17" s="290">
        <v>3583</v>
      </c>
      <c r="E17" s="173">
        <v>896</v>
      </c>
      <c r="F17" s="173">
        <v>936</v>
      </c>
      <c r="G17" s="173">
        <v>903</v>
      </c>
      <c r="H17" s="173">
        <v>896</v>
      </c>
      <c r="I17" s="154">
        <f>SUM(E17:H17)</f>
        <v>3631</v>
      </c>
      <c r="J17" s="173">
        <v>851</v>
      </c>
      <c r="K17" s="335">
        <v>831</v>
      </c>
      <c r="L17" s="173">
        <v>796</v>
      </c>
      <c r="M17" s="173">
        <v>849</v>
      </c>
      <c r="N17" s="154">
        <f>SUM(J17:M17)</f>
        <v>3327</v>
      </c>
      <c r="O17" s="173">
        <v>825</v>
      </c>
      <c r="P17" s="173">
        <v>855</v>
      </c>
      <c r="Q17" s="173">
        <v>842</v>
      </c>
      <c r="R17" s="173">
        <v>822</v>
      </c>
      <c r="S17" s="154">
        <v>3344</v>
      </c>
    </row>
    <row r="18" spans="1:19" s="18" customFormat="1" ht="17.25" customHeight="1">
      <c r="A18" s="7"/>
      <c r="B18" s="16" t="s">
        <v>150</v>
      </c>
      <c r="C18" s="292">
        <v>4364</v>
      </c>
      <c r="D18" s="292">
        <v>3422</v>
      </c>
      <c r="E18" s="166">
        <v>929</v>
      </c>
      <c r="F18" s="166">
        <v>895</v>
      </c>
      <c r="G18" s="166">
        <v>866</v>
      </c>
      <c r="H18" s="166">
        <v>850</v>
      </c>
      <c r="I18" s="207">
        <f>SUM(E18:H18)</f>
        <v>3540</v>
      </c>
      <c r="J18" s="166">
        <v>875</v>
      </c>
      <c r="K18" s="336">
        <v>852</v>
      </c>
      <c r="L18" s="166">
        <v>788</v>
      </c>
      <c r="M18" s="166">
        <v>794</v>
      </c>
      <c r="N18" s="207">
        <f>SUM(J18:M18)</f>
        <v>3309</v>
      </c>
      <c r="O18" s="166">
        <v>777</v>
      </c>
      <c r="P18" s="166">
        <v>785</v>
      </c>
      <c r="Q18" s="166">
        <v>779</v>
      </c>
      <c r="R18" s="166">
        <v>765</v>
      </c>
      <c r="S18" s="207">
        <v>3106</v>
      </c>
    </row>
    <row r="19" spans="1:19" s="18" customFormat="1" ht="17.25" customHeight="1">
      <c r="A19" s="7"/>
      <c r="B19" s="382" t="s">
        <v>187</v>
      </c>
      <c r="C19" s="292">
        <v>2955</v>
      </c>
      <c r="D19" s="292">
        <v>3355</v>
      </c>
      <c r="E19" s="166">
        <v>734</v>
      </c>
      <c r="F19" s="166">
        <v>756</v>
      </c>
      <c r="G19" s="166">
        <v>655</v>
      </c>
      <c r="H19" s="166">
        <v>723</v>
      </c>
      <c r="I19" s="207">
        <f>SUM(E19:H19)</f>
        <v>2868</v>
      </c>
      <c r="J19" s="166">
        <v>762</v>
      </c>
      <c r="K19" s="166">
        <v>599</v>
      </c>
      <c r="L19" s="166">
        <v>612</v>
      </c>
      <c r="M19" s="166">
        <v>476</v>
      </c>
      <c r="N19" s="207">
        <f>SUM(J19:M19)</f>
        <v>2449</v>
      </c>
      <c r="O19" s="166">
        <v>645</v>
      </c>
      <c r="P19" s="166">
        <v>631</v>
      </c>
      <c r="Q19" s="166">
        <v>563</v>
      </c>
      <c r="R19" s="166">
        <v>622</v>
      </c>
      <c r="S19" s="207">
        <v>2461</v>
      </c>
    </row>
    <row r="20" spans="1:19" s="18" customFormat="1" ht="17.25" customHeight="1">
      <c r="A20" s="7"/>
      <c r="B20" s="381" t="s">
        <v>10</v>
      </c>
      <c r="C20" s="404">
        <v>0</v>
      </c>
      <c r="D20" s="404">
        <v>0</v>
      </c>
      <c r="E20" s="400">
        <v>0</v>
      </c>
      <c r="F20" s="400">
        <v>0</v>
      </c>
      <c r="G20" s="400">
        <v>0</v>
      </c>
      <c r="H20" s="400">
        <v>0</v>
      </c>
      <c r="I20" s="405">
        <f>SUM(E20:H20)</f>
        <v>0</v>
      </c>
      <c r="J20" s="400">
        <v>0</v>
      </c>
      <c r="K20" s="400">
        <v>0</v>
      </c>
      <c r="L20" s="400">
        <v>0</v>
      </c>
      <c r="M20" s="400">
        <v>0</v>
      </c>
      <c r="N20" s="405">
        <f>SUM(J20:M20)</f>
        <v>0</v>
      </c>
      <c r="O20" s="400">
        <v>0</v>
      </c>
      <c r="P20" s="400">
        <v>41</v>
      </c>
      <c r="Q20" s="400">
        <v>0</v>
      </c>
      <c r="R20" s="400">
        <v>0</v>
      </c>
      <c r="S20" s="405">
        <v>41</v>
      </c>
    </row>
    <row r="21" spans="1:19" s="18" customFormat="1" ht="17.25" customHeight="1" thickBot="1">
      <c r="A21" s="37"/>
      <c r="B21" s="33" t="s">
        <v>11</v>
      </c>
      <c r="C21" s="156">
        <f>IF((SUM(C17:C20))=C7,SUM(C17:C20),"Error")</f>
        <v>11005</v>
      </c>
      <c r="D21" s="156">
        <f aca="true" t="shared" si="3" ref="D21:S21">IF((SUM(D17:D20))=D7,SUM(D17:D20),"Error")</f>
        <v>10360</v>
      </c>
      <c r="E21" s="156">
        <f t="shared" si="3"/>
        <v>2559</v>
      </c>
      <c r="F21" s="156">
        <f t="shared" si="3"/>
        <v>2587</v>
      </c>
      <c r="G21" s="156">
        <f t="shared" si="3"/>
        <v>2424</v>
      </c>
      <c r="H21" s="156">
        <f t="shared" si="3"/>
        <v>2469</v>
      </c>
      <c r="I21" s="156">
        <f t="shared" si="3"/>
        <v>10039</v>
      </c>
      <c r="J21" s="156">
        <f t="shared" si="3"/>
        <v>2488</v>
      </c>
      <c r="K21" s="156">
        <f t="shared" si="3"/>
        <v>2282</v>
      </c>
      <c r="L21" s="156">
        <f t="shared" si="3"/>
        <v>2196</v>
      </c>
      <c r="M21" s="156">
        <f t="shared" si="3"/>
        <v>2119</v>
      </c>
      <c r="N21" s="156">
        <f t="shared" si="3"/>
        <v>9085</v>
      </c>
      <c r="O21" s="156">
        <f t="shared" si="3"/>
        <v>2247</v>
      </c>
      <c r="P21" s="156">
        <f t="shared" si="3"/>
        <v>2312</v>
      </c>
      <c r="Q21" s="156">
        <f t="shared" si="3"/>
        <v>2184</v>
      </c>
      <c r="R21" s="156">
        <f t="shared" si="3"/>
        <v>2209</v>
      </c>
      <c r="S21" s="156">
        <f t="shared" si="3"/>
        <v>8952</v>
      </c>
    </row>
    <row r="22" spans="1:19" ht="17.25" customHeight="1">
      <c r="A22" s="7"/>
      <c r="B22" s="71"/>
      <c r="C22" s="72"/>
      <c r="D22" s="72"/>
      <c r="E22" s="72"/>
      <c r="F22" s="72"/>
      <c r="G22" s="72"/>
      <c r="H22" s="72"/>
      <c r="I22" s="72"/>
      <c r="J22" s="72"/>
      <c r="K22" s="338"/>
      <c r="L22" s="72"/>
      <c r="M22" s="72"/>
      <c r="N22" s="72"/>
      <c r="O22" s="72"/>
      <c r="P22" s="72"/>
      <c r="Q22" s="72"/>
      <c r="R22" s="72"/>
      <c r="S22" s="72"/>
    </row>
    <row r="23" spans="1:19" ht="17.25" customHeight="1">
      <c r="A23" s="7"/>
      <c r="B23" s="13" t="s">
        <v>144</v>
      </c>
      <c r="C23" s="15"/>
      <c r="D23" s="15"/>
      <c r="E23" s="131"/>
      <c r="F23" s="131"/>
      <c r="G23" s="131"/>
      <c r="H23" s="131"/>
      <c r="I23" s="15"/>
      <c r="J23" s="131"/>
      <c r="K23" s="327"/>
      <c r="L23" s="131"/>
      <c r="M23" s="131"/>
      <c r="N23" s="15"/>
      <c r="O23" s="131"/>
      <c r="P23" s="131"/>
      <c r="Q23" s="131"/>
      <c r="R23" s="131"/>
      <c r="S23" s="15"/>
    </row>
    <row r="24" spans="1:19" ht="17.25" customHeight="1">
      <c r="A24" s="7"/>
      <c r="B24" s="24" t="s">
        <v>7</v>
      </c>
      <c r="C24" s="173">
        <v>47</v>
      </c>
      <c r="D24" s="173">
        <v>50</v>
      </c>
      <c r="E24" s="205">
        <v>47</v>
      </c>
      <c r="F24" s="205">
        <v>47</v>
      </c>
      <c r="G24" s="205">
        <v>47</v>
      </c>
      <c r="H24" s="205">
        <v>46</v>
      </c>
      <c r="I24" s="173">
        <v>47</v>
      </c>
      <c r="J24" s="205">
        <v>44</v>
      </c>
      <c r="K24" s="339">
        <v>43</v>
      </c>
      <c r="L24" s="205">
        <v>45</v>
      </c>
      <c r="M24" s="205">
        <v>46</v>
      </c>
      <c r="N24" s="173">
        <v>45</v>
      </c>
      <c r="O24" s="205">
        <v>43</v>
      </c>
      <c r="P24" s="205">
        <v>44</v>
      </c>
      <c r="Q24" s="205">
        <v>43</v>
      </c>
      <c r="R24" s="205">
        <v>41</v>
      </c>
      <c r="S24" s="173">
        <v>42</v>
      </c>
    </row>
    <row r="25" spans="1:19" ht="17.25" customHeight="1">
      <c r="A25" s="7"/>
      <c r="B25" s="16" t="s">
        <v>150</v>
      </c>
      <c r="C25" s="166">
        <v>56</v>
      </c>
      <c r="D25" s="166">
        <v>48</v>
      </c>
      <c r="E25" s="208">
        <v>48</v>
      </c>
      <c r="F25" s="208">
        <v>45</v>
      </c>
      <c r="G25" s="208">
        <v>45</v>
      </c>
      <c r="H25" s="209">
        <v>44</v>
      </c>
      <c r="I25" s="166">
        <v>46</v>
      </c>
      <c r="J25" s="208">
        <v>45</v>
      </c>
      <c r="K25" s="340">
        <v>45</v>
      </c>
      <c r="L25" s="208">
        <v>44</v>
      </c>
      <c r="M25" s="208">
        <v>43</v>
      </c>
      <c r="N25" s="166">
        <v>44</v>
      </c>
      <c r="O25" s="209">
        <v>41</v>
      </c>
      <c r="P25" s="208">
        <v>41</v>
      </c>
      <c r="Q25" s="208">
        <v>39</v>
      </c>
      <c r="R25" s="208">
        <v>38</v>
      </c>
      <c r="S25" s="166">
        <v>40</v>
      </c>
    </row>
    <row r="26" spans="1:19" ht="17.25" customHeight="1">
      <c r="A26" s="7"/>
      <c r="B26" s="382" t="s">
        <v>187</v>
      </c>
      <c r="C26" s="166">
        <v>38</v>
      </c>
      <c r="D26" s="166">
        <v>47</v>
      </c>
      <c r="E26" s="208">
        <v>38</v>
      </c>
      <c r="F26" s="208">
        <v>38</v>
      </c>
      <c r="G26" s="208">
        <v>34</v>
      </c>
      <c r="H26" s="209">
        <v>37</v>
      </c>
      <c r="I26" s="166">
        <v>37</v>
      </c>
      <c r="J26" s="208">
        <v>39</v>
      </c>
      <c r="K26" s="340">
        <v>31</v>
      </c>
      <c r="L26" s="208">
        <v>34</v>
      </c>
      <c r="M26" s="208">
        <v>26</v>
      </c>
      <c r="N26" s="166">
        <v>33</v>
      </c>
      <c r="O26" s="209">
        <v>34</v>
      </c>
      <c r="P26" s="208">
        <v>33</v>
      </c>
      <c r="Q26" s="208">
        <v>28</v>
      </c>
      <c r="R26" s="208">
        <v>31</v>
      </c>
      <c r="S26" s="166">
        <v>31</v>
      </c>
    </row>
    <row r="27" spans="1:19" ht="17.25" customHeight="1">
      <c r="A27" s="7"/>
      <c r="B27" s="381" t="s">
        <v>10</v>
      </c>
      <c r="C27" s="400">
        <v>0</v>
      </c>
      <c r="D27" s="400">
        <v>0</v>
      </c>
      <c r="E27" s="401">
        <v>0</v>
      </c>
      <c r="F27" s="401">
        <v>0</v>
      </c>
      <c r="G27" s="401">
        <v>0</v>
      </c>
      <c r="H27" s="402">
        <v>0</v>
      </c>
      <c r="I27" s="400">
        <v>0</v>
      </c>
      <c r="J27" s="401">
        <v>0</v>
      </c>
      <c r="K27" s="403">
        <v>0</v>
      </c>
      <c r="L27" s="401">
        <v>0</v>
      </c>
      <c r="M27" s="401">
        <v>0</v>
      </c>
      <c r="N27" s="400">
        <v>0</v>
      </c>
      <c r="O27" s="402">
        <v>0</v>
      </c>
      <c r="P27" s="401">
        <v>2</v>
      </c>
      <c r="Q27" s="401">
        <v>0</v>
      </c>
      <c r="R27" s="401">
        <v>0</v>
      </c>
      <c r="S27" s="401">
        <v>1</v>
      </c>
    </row>
    <row r="28" spans="1:19" ht="17.25" customHeight="1" thickBot="1">
      <c r="A28" s="37"/>
      <c r="B28" s="33" t="s">
        <v>2</v>
      </c>
      <c r="C28" s="156">
        <f>SUM(C24:C27)</f>
        <v>141</v>
      </c>
      <c r="D28" s="156">
        <f aca="true" t="shared" si="4" ref="D28:Q28">SUM(D24:D27)</f>
        <v>145</v>
      </c>
      <c r="E28" s="156">
        <f t="shared" si="4"/>
        <v>133</v>
      </c>
      <c r="F28" s="156">
        <f t="shared" si="4"/>
        <v>130</v>
      </c>
      <c r="G28" s="156">
        <f t="shared" si="4"/>
        <v>126</v>
      </c>
      <c r="H28" s="156">
        <f t="shared" si="4"/>
        <v>127</v>
      </c>
      <c r="I28" s="156">
        <f t="shared" si="4"/>
        <v>130</v>
      </c>
      <c r="J28" s="156">
        <f t="shared" si="4"/>
        <v>128</v>
      </c>
      <c r="K28" s="156">
        <f t="shared" si="4"/>
        <v>119</v>
      </c>
      <c r="L28" s="156">
        <f t="shared" si="4"/>
        <v>123</v>
      </c>
      <c r="M28" s="156">
        <f t="shared" si="4"/>
        <v>115</v>
      </c>
      <c r="N28" s="156">
        <f t="shared" si="4"/>
        <v>122</v>
      </c>
      <c r="O28" s="156">
        <f t="shared" si="4"/>
        <v>118</v>
      </c>
      <c r="P28" s="156">
        <f t="shared" si="4"/>
        <v>120</v>
      </c>
      <c r="Q28" s="156">
        <f t="shared" si="4"/>
        <v>110</v>
      </c>
      <c r="R28" s="156">
        <f>SUM(R24:R27)</f>
        <v>110</v>
      </c>
      <c r="S28" s="156">
        <f>SUM(S24:S27)</f>
        <v>114</v>
      </c>
    </row>
    <row r="29" spans="1:19" ht="11.25" customHeight="1">
      <c r="A29" s="132"/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7.2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7.25" customHeight="1">
      <c r="A31" s="287"/>
      <c r="B31" s="7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</row>
    <row r="32" spans="1:19" s="18" customFormat="1" ht="17.25" customHeight="1">
      <c r="A32" s="195"/>
      <c r="B32" s="286" t="s">
        <v>207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7.25" customHeight="1">
      <c r="A33" s="194" t="s">
        <v>93</v>
      </c>
      <c r="B33" s="19" t="s">
        <v>145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</sheetData>
  <sheetProtection/>
  <mergeCells count="1">
    <mergeCell ref="B1:B2"/>
  </mergeCells>
  <conditionalFormatting sqref="C21:S21">
    <cfRule type="cellIs" priority="6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50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39.7109375" style="1" customWidth="1"/>
    <col min="3" max="24" width="11.57421875" style="1" customWidth="1"/>
    <col min="25" max="16384" width="1.7109375" style="1" customWidth="1"/>
  </cols>
  <sheetData>
    <row r="1" spans="1:19" ht="23.25" customHeight="1">
      <c r="A1" s="2"/>
      <c r="B1" s="408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ht="17.25" customHeight="1">
      <c r="A3" s="7"/>
      <c r="B3" s="145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</row>
    <row r="4" spans="1:19" ht="17.25" customHeight="1" thickBot="1">
      <c r="A4" s="7"/>
      <c r="B4" s="9" t="s">
        <v>200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345"/>
      <c r="B6" s="74" t="s">
        <v>73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19" ht="17.25" customHeight="1">
      <c r="A7" s="345"/>
      <c r="B7" s="346" t="s">
        <v>65</v>
      </c>
      <c r="C7" s="296">
        <v>279.9</v>
      </c>
      <c r="D7" s="296">
        <v>308.2</v>
      </c>
      <c r="E7" s="318">
        <v>317.1</v>
      </c>
      <c r="F7" s="318">
        <v>305.6</v>
      </c>
      <c r="G7" s="318">
        <v>307.6</v>
      </c>
      <c r="H7" s="318">
        <v>301.9</v>
      </c>
      <c r="I7" s="178">
        <f>+H7</f>
        <v>301.9</v>
      </c>
      <c r="J7" s="318">
        <v>269.8</v>
      </c>
      <c r="K7" s="318">
        <v>261.8</v>
      </c>
      <c r="L7" s="318">
        <v>250.3</v>
      </c>
      <c r="M7" s="318">
        <v>253.7</v>
      </c>
      <c r="N7" s="178">
        <f>+M7</f>
        <v>253.7</v>
      </c>
      <c r="O7" s="318">
        <v>252.9</v>
      </c>
      <c r="P7" s="318">
        <v>251.3</v>
      </c>
      <c r="Q7" s="318">
        <v>258.2</v>
      </c>
      <c r="R7" s="318">
        <v>253.6</v>
      </c>
      <c r="S7" s="178">
        <f>+R7</f>
        <v>253.6</v>
      </c>
    </row>
    <row r="8" spans="1:19" ht="17.25" customHeight="1">
      <c r="A8" s="345"/>
      <c r="B8" s="347" t="s">
        <v>67</v>
      </c>
      <c r="C8" s="297">
        <v>229.4</v>
      </c>
      <c r="D8" s="297">
        <v>257.4</v>
      </c>
      <c r="E8" s="315">
        <v>256.6</v>
      </c>
      <c r="F8" s="315">
        <v>248.9</v>
      </c>
      <c r="G8" s="315">
        <v>250.6</v>
      </c>
      <c r="H8" s="315">
        <v>247</v>
      </c>
      <c r="I8" s="179">
        <f>+H8</f>
        <v>247</v>
      </c>
      <c r="J8" s="315">
        <v>279.4</v>
      </c>
      <c r="K8" s="315">
        <v>263.8</v>
      </c>
      <c r="L8" s="315">
        <v>255.6</v>
      </c>
      <c r="M8" s="315">
        <v>265.1</v>
      </c>
      <c r="N8" s="179">
        <f>+M8</f>
        <v>265.1</v>
      </c>
      <c r="O8" s="315">
        <v>273.2</v>
      </c>
      <c r="P8" s="315">
        <v>271.3</v>
      </c>
      <c r="Q8" s="315">
        <v>277.9</v>
      </c>
      <c r="R8" s="315">
        <v>273.1</v>
      </c>
      <c r="S8" s="179">
        <f>+R8</f>
        <v>273.1</v>
      </c>
    </row>
    <row r="9" spans="1:19" ht="17.25" customHeight="1">
      <c r="A9" s="345"/>
      <c r="B9" s="347" t="s">
        <v>66</v>
      </c>
      <c r="C9" s="297">
        <v>102.7</v>
      </c>
      <c r="D9" s="297">
        <v>126.4</v>
      </c>
      <c r="E9" s="315">
        <v>132.4</v>
      </c>
      <c r="F9" s="315">
        <v>132.4</v>
      </c>
      <c r="G9" s="315">
        <v>131.9</v>
      </c>
      <c r="H9" s="315">
        <v>135.7</v>
      </c>
      <c r="I9" s="179">
        <f>+H9</f>
        <v>135.7</v>
      </c>
      <c r="J9" s="315">
        <v>142.9</v>
      </c>
      <c r="K9" s="315">
        <v>135</v>
      </c>
      <c r="L9" s="315">
        <v>133.6</v>
      </c>
      <c r="M9" s="315">
        <v>143.5</v>
      </c>
      <c r="N9" s="179">
        <f>+M9</f>
        <v>143.5</v>
      </c>
      <c r="O9" s="315">
        <v>153.1</v>
      </c>
      <c r="P9" s="315">
        <v>153.9</v>
      </c>
      <c r="Q9" s="315">
        <v>162.6</v>
      </c>
      <c r="R9" s="315">
        <v>165</v>
      </c>
      <c r="S9" s="179">
        <f>+R9</f>
        <v>165</v>
      </c>
    </row>
    <row r="10" spans="1:19" ht="17.25" customHeight="1">
      <c r="A10" s="345"/>
      <c r="B10" s="348" t="s">
        <v>74</v>
      </c>
      <c r="C10" s="298">
        <v>46.5</v>
      </c>
      <c r="D10" s="298">
        <v>67.7</v>
      </c>
      <c r="E10" s="316">
        <v>74.2</v>
      </c>
      <c r="F10" s="316">
        <v>75.5</v>
      </c>
      <c r="G10" s="316">
        <v>78.2</v>
      </c>
      <c r="H10" s="316">
        <v>78.5</v>
      </c>
      <c r="I10" s="180">
        <f>+H10</f>
        <v>78.5</v>
      </c>
      <c r="J10" s="316">
        <v>87.1</v>
      </c>
      <c r="K10" s="316">
        <v>82.9</v>
      </c>
      <c r="L10" s="316">
        <v>82.3</v>
      </c>
      <c r="M10" s="316">
        <v>87.9</v>
      </c>
      <c r="N10" s="180">
        <f>+M10</f>
        <v>87.9</v>
      </c>
      <c r="O10" s="316">
        <v>93</v>
      </c>
      <c r="P10" s="316">
        <v>97.6</v>
      </c>
      <c r="Q10" s="316">
        <v>104.6</v>
      </c>
      <c r="R10" s="316">
        <v>106.8</v>
      </c>
      <c r="S10" s="180">
        <f>+R10</f>
        <v>106.8</v>
      </c>
    </row>
    <row r="11" spans="1:19" ht="17.25" customHeight="1" thickBot="1">
      <c r="A11" s="345"/>
      <c r="B11" s="76" t="s">
        <v>72</v>
      </c>
      <c r="C11" s="182">
        <f aca="true" t="shared" si="0" ref="C11:S11">SUM(C7:C10)</f>
        <v>658.5</v>
      </c>
      <c r="D11" s="182">
        <f t="shared" si="0"/>
        <v>759.7</v>
      </c>
      <c r="E11" s="182">
        <f t="shared" si="0"/>
        <v>780.3</v>
      </c>
      <c r="F11" s="182">
        <f t="shared" si="0"/>
        <v>762.4</v>
      </c>
      <c r="G11" s="182">
        <f t="shared" si="0"/>
        <v>768.3</v>
      </c>
      <c r="H11" s="182">
        <f t="shared" si="0"/>
        <v>763.1</v>
      </c>
      <c r="I11" s="182">
        <f t="shared" si="0"/>
        <v>763.1</v>
      </c>
      <c r="J11" s="182">
        <f t="shared" si="0"/>
        <v>779.2</v>
      </c>
      <c r="K11" s="182">
        <f t="shared" si="0"/>
        <v>743.5</v>
      </c>
      <c r="L11" s="182">
        <f t="shared" si="0"/>
        <v>721.8</v>
      </c>
      <c r="M11" s="182">
        <f t="shared" si="0"/>
        <v>750.2</v>
      </c>
      <c r="N11" s="182">
        <f t="shared" si="0"/>
        <v>750.2</v>
      </c>
      <c r="O11" s="182">
        <f t="shared" si="0"/>
        <v>772.2</v>
      </c>
      <c r="P11" s="182">
        <f t="shared" si="0"/>
        <v>774.1</v>
      </c>
      <c r="Q11" s="182">
        <f t="shared" si="0"/>
        <v>803.3</v>
      </c>
      <c r="R11" s="182">
        <f t="shared" si="0"/>
        <v>798.5</v>
      </c>
      <c r="S11" s="182">
        <f t="shared" si="0"/>
        <v>798.5</v>
      </c>
    </row>
    <row r="12" spans="1:19" ht="17.25" customHeight="1">
      <c r="A12" s="7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17.25" customHeight="1">
      <c r="A13" s="7"/>
      <c r="B13" s="74" t="s">
        <v>141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</row>
    <row r="14" spans="1:19" s="18" customFormat="1" ht="17.25" customHeight="1" thickBot="1">
      <c r="A14" s="7"/>
      <c r="B14" s="200" t="s">
        <v>142</v>
      </c>
      <c r="C14" s="201">
        <v>776.5</v>
      </c>
      <c r="D14" s="201">
        <v>714.7</v>
      </c>
      <c r="E14" s="201">
        <v>770.1</v>
      </c>
      <c r="F14" s="201">
        <v>792.2</v>
      </c>
      <c r="G14" s="201">
        <v>764.7</v>
      </c>
      <c r="H14" s="201">
        <v>777.7</v>
      </c>
      <c r="I14" s="201">
        <v>776.2</v>
      </c>
      <c r="J14" s="201">
        <v>775.1</v>
      </c>
      <c r="K14" s="337">
        <v>764</v>
      </c>
      <c r="L14" s="201">
        <v>711.5</v>
      </c>
      <c r="M14" s="201">
        <v>735.6</v>
      </c>
      <c r="N14" s="201">
        <v>746.5</v>
      </c>
      <c r="O14" s="201">
        <v>763.2</v>
      </c>
      <c r="P14" s="201">
        <v>772</v>
      </c>
      <c r="Q14" s="201">
        <v>794.3</v>
      </c>
      <c r="R14" s="201">
        <v>799.9</v>
      </c>
      <c r="S14" s="201">
        <v>782.5</v>
      </c>
    </row>
    <row r="15" spans="1:19" ht="17.25" customHeight="1">
      <c r="A15" s="7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7.25" customHeight="1">
      <c r="A16" s="345"/>
      <c r="B16" s="74" t="s">
        <v>163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</row>
    <row r="17" spans="1:256" s="360" customFormat="1" ht="17.25" customHeight="1">
      <c r="A17" s="345"/>
      <c r="B17" s="346" t="s">
        <v>69</v>
      </c>
      <c r="C17" s="296">
        <v>238.8</v>
      </c>
      <c r="D17" s="296">
        <v>269.3</v>
      </c>
      <c r="E17" s="318">
        <v>278</v>
      </c>
      <c r="F17" s="318">
        <v>281.2</v>
      </c>
      <c r="G17" s="318">
        <v>274.3</v>
      </c>
      <c r="H17" s="318">
        <v>270.9</v>
      </c>
      <c r="I17" s="178">
        <f>+H17</f>
        <v>270.9</v>
      </c>
      <c r="J17" s="318">
        <v>270.3</v>
      </c>
      <c r="K17" s="318">
        <v>251.4</v>
      </c>
      <c r="L17" s="318">
        <v>252.8</v>
      </c>
      <c r="M17" s="318">
        <v>266.4</v>
      </c>
      <c r="N17" s="178">
        <f>+M17</f>
        <v>266.4</v>
      </c>
      <c r="O17" s="318">
        <v>271.8</v>
      </c>
      <c r="P17" s="318">
        <v>283.9</v>
      </c>
      <c r="Q17" s="318">
        <v>299</v>
      </c>
      <c r="R17" s="318">
        <v>293.7</v>
      </c>
      <c r="S17" s="178">
        <f>+R17</f>
        <v>293.7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60" customFormat="1" ht="17.25" customHeight="1">
      <c r="A18" s="345"/>
      <c r="B18" s="347" t="s">
        <v>70</v>
      </c>
      <c r="C18" s="297">
        <v>197</v>
      </c>
      <c r="D18" s="297">
        <v>224.3</v>
      </c>
      <c r="E18" s="315">
        <v>222.8</v>
      </c>
      <c r="F18" s="315">
        <v>199.9</v>
      </c>
      <c r="G18" s="315">
        <v>204.9</v>
      </c>
      <c r="H18" s="315">
        <v>198.4</v>
      </c>
      <c r="I18" s="179">
        <f>+H18</f>
        <v>198.4</v>
      </c>
      <c r="J18" s="315">
        <v>203.5</v>
      </c>
      <c r="K18" s="315">
        <v>189.7</v>
      </c>
      <c r="L18" s="315">
        <v>177.7</v>
      </c>
      <c r="M18" s="315">
        <v>180.7</v>
      </c>
      <c r="N18" s="179">
        <f>+M18</f>
        <v>180.7</v>
      </c>
      <c r="O18" s="315">
        <v>180.9</v>
      </c>
      <c r="P18" s="315">
        <v>171.9</v>
      </c>
      <c r="Q18" s="315">
        <v>175.5</v>
      </c>
      <c r="R18" s="315">
        <v>171.7</v>
      </c>
      <c r="S18" s="179">
        <f>+R18</f>
        <v>171.7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60" customFormat="1" ht="17.25" customHeight="1">
      <c r="A19" s="345"/>
      <c r="B19" s="347" t="s">
        <v>71</v>
      </c>
      <c r="C19" s="297">
        <v>158.3</v>
      </c>
      <c r="D19" s="297">
        <v>171.2</v>
      </c>
      <c r="E19" s="315">
        <v>177.1</v>
      </c>
      <c r="F19" s="315">
        <v>176.2</v>
      </c>
      <c r="G19" s="315">
        <v>176.5</v>
      </c>
      <c r="H19" s="315">
        <v>179</v>
      </c>
      <c r="I19" s="179">
        <f>+H19</f>
        <v>179</v>
      </c>
      <c r="J19" s="315">
        <v>181.4</v>
      </c>
      <c r="K19" s="315">
        <v>180.9</v>
      </c>
      <c r="L19" s="315">
        <v>174</v>
      </c>
      <c r="M19" s="315">
        <v>177</v>
      </c>
      <c r="N19" s="179">
        <f>+M19</f>
        <v>177</v>
      </c>
      <c r="O19" s="315">
        <v>187</v>
      </c>
      <c r="P19" s="315">
        <v>183.6</v>
      </c>
      <c r="Q19" s="315">
        <v>187.8</v>
      </c>
      <c r="R19" s="315">
        <v>188.2</v>
      </c>
      <c r="S19" s="179">
        <f>+R19</f>
        <v>188.2</v>
      </c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60" customFormat="1" ht="17.25" customHeight="1">
      <c r="A20" s="345"/>
      <c r="B20" s="348" t="s">
        <v>4</v>
      </c>
      <c r="C20" s="298">
        <v>64.4</v>
      </c>
      <c r="D20" s="298">
        <v>94.9</v>
      </c>
      <c r="E20" s="316">
        <v>102.4</v>
      </c>
      <c r="F20" s="316">
        <v>105.1</v>
      </c>
      <c r="G20" s="316">
        <v>112.6</v>
      </c>
      <c r="H20" s="316">
        <v>114.8</v>
      </c>
      <c r="I20" s="180">
        <f>+H20</f>
        <v>114.8</v>
      </c>
      <c r="J20" s="316">
        <v>124</v>
      </c>
      <c r="K20" s="316">
        <v>121.5</v>
      </c>
      <c r="L20" s="316">
        <v>117.3</v>
      </c>
      <c r="M20" s="316">
        <v>126.1</v>
      </c>
      <c r="N20" s="180">
        <f>+M20</f>
        <v>126.1</v>
      </c>
      <c r="O20" s="316">
        <v>132.5</v>
      </c>
      <c r="P20" s="316">
        <v>134.7</v>
      </c>
      <c r="Q20" s="316">
        <v>141</v>
      </c>
      <c r="R20" s="316">
        <v>144.9</v>
      </c>
      <c r="S20" s="180">
        <f>+R20</f>
        <v>144.9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60" customFormat="1" ht="17.25" customHeight="1" thickBot="1">
      <c r="A21" s="345"/>
      <c r="B21" s="76" t="s">
        <v>72</v>
      </c>
      <c r="C21" s="182">
        <f aca="true" t="shared" si="1" ref="C21:S21">SUM(C17:C20)</f>
        <v>658.5</v>
      </c>
      <c r="D21" s="182">
        <f t="shared" si="1"/>
        <v>759.7</v>
      </c>
      <c r="E21" s="182">
        <f t="shared" si="1"/>
        <v>780.3</v>
      </c>
      <c r="F21" s="182">
        <f t="shared" si="1"/>
        <v>762.4</v>
      </c>
      <c r="G21" s="182">
        <f t="shared" si="1"/>
        <v>768.3</v>
      </c>
      <c r="H21" s="182">
        <f t="shared" si="1"/>
        <v>763.1</v>
      </c>
      <c r="I21" s="182">
        <f t="shared" si="1"/>
        <v>763.1</v>
      </c>
      <c r="J21" s="182">
        <f t="shared" si="1"/>
        <v>779.2</v>
      </c>
      <c r="K21" s="182">
        <f t="shared" si="1"/>
        <v>743.5</v>
      </c>
      <c r="L21" s="182">
        <f t="shared" si="1"/>
        <v>721.8</v>
      </c>
      <c r="M21" s="182">
        <f t="shared" si="1"/>
        <v>750.2</v>
      </c>
      <c r="N21" s="182">
        <f t="shared" si="1"/>
        <v>750.2</v>
      </c>
      <c r="O21" s="182">
        <f t="shared" si="1"/>
        <v>772.2</v>
      </c>
      <c r="P21" s="182">
        <f t="shared" si="1"/>
        <v>774.1</v>
      </c>
      <c r="Q21" s="182">
        <f t="shared" si="1"/>
        <v>803.3</v>
      </c>
      <c r="R21" s="182">
        <f t="shared" si="1"/>
        <v>798.5</v>
      </c>
      <c r="S21" s="182">
        <f t="shared" si="1"/>
        <v>798.5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19" ht="17.25" customHeight="1">
      <c r="A22" s="345"/>
      <c r="B22" s="71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</row>
    <row r="23" spans="1:19" ht="17.25" customHeight="1">
      <c r="A23" s="345"/>
      <c r="B23" s="74" t="s">
        <v>184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</row>
    <row r="24" spans="1:19" ht="17.25" customHeight="1">
      <c r="A24" s="345"/>
      <c r="B24" s="346" t="s">
        <v>65</v>
      </c>
      <c r="C24" s="300">
        <v>2.5</v>
      </c>
      <c r="D24" s="300">
        <v>3.7</v>
      </c>
      <c r="E24" s="314">
        <v>4.1</v>
      </c>
      <c r="F24" s="314">
        <v>1.7</v>
      </c>
      <c r="G24" s="314">
        <v>0.9</v>
      </c>
      <c r="H24" s="314">
        <v>-1.5</v>
      </c>
      <c r="I24" s="178">
        <f>+H24+G24+F24+E24</f>
        <v>5.2</v>
      </c>
      <c r="J24" s="314">
        <v>4</v>
      </c>
      <c r="K24" s="314">
        <v>3.1</v>
      </c>
      <c r="L24" s="314">
        <v>-0.1</v>
      </c>
      <c r="M24" s="314">
        <v>-2.1</v>
      </c>
      <c r="N24" s="178">
        <f>+M24+L24+K24+J24</f>
        <v>4.9</v>
      </c>
      <c r="O24" s="314">
        <v>1.3</v>
      </c>
      <c r="P24" s="314">
        <v>0.7</v>
      </c>
      <c r="Q24" s="314">
        <v>0.1</v>
      </c>
      <c r="R24" s="318">
        <v>0.2</v>
      </c>
      <c r="S24" s="178">
        <f>+R24+Q24+P24+O24</f>
        <v>2.3</v>
      </c>
    </row>
    <row r="25" spans="1:19" ht="17.25" customHeight="1">
      <c r="A25" s="345"/>
      <c r="B25" s="347" t="s">
        <v>67</v>
      </c>
      <c r="C25" s="297">
        <v>12.6</v>
      </c>
      <c r="D25" s="297">
        <v>9.4</v>
      </c>
      <c r="E25" s="315">
        <v>1.1</v>
      </c>
      <c r="F25" s="315">
        <v>5.4</v>
      </c>
      <c r="G25" s="315">
        <v>3.9</v>
      </c>
      <c r="H25" s="315">
        <v>3.1</v>
      </c>
      <c r="I25" s="179">
        <f>+H25+G25+F25+E25</f>
        <v>13.5</v>
      </c>
      <c r="J25" s="315">
        <v>3</v>
      </c>
      <c r="K25" s="315">
        <v>3.3</v>
      </c>
      <c r="L25" s="315">
        <v>2.5</v>
      </c>
      <c r="M25" s="315">
        <v>5</v>
      </c>
      <c r="N25" s="179">
        <f>+M25+L25+K25+J25</f>
        <v>13.8</v>
      </c>
      <c r="O25" s="315">
        <v>-2.4</v>
      </c>
      <c r="P25" s="315">
        <v>0.3</v>
      </c>
      <c r="Q25" s="315">
        <v>1.3</v>
      </c>
      <c r="R25" s="315">
        <v>-2.7</v>
      </c>
      <c r="S25" s="179">
        <f>+R25+Q25+P25+O25</f>
        <v>-3.5</v>
      </c>
    </row>
    <row r="26" spans="1:19" ht="17.25" customHeight="1">
      <c r="A26" s="345"/>
      <c r="B26" s="347" t="s">
        <v>66</v>
      </c>
      <c r="C26" s="297">
        <v>16.8</v>
      </c>
      <c r="D26" s="297">
        <v>8</v>
      </c>
      <c r="E26" s="315">
        <v>2</v>
      </c>
      <c r="F26" s="315">
        <v>1.6</v>
      </c>
      <c r="G26" s="315">
        <v>3.1</v>
      </c>
      <c r="H26" s="315">
        <v>2.8</v>
      </c>
      <c r="I26" s="179">
        <f>+H26+G26+F26+E26</f>
        <v>9.5</v>
      </c>
      <c r="J26" s="315">
        <v>3.2</v>
      </c>
      <c r="K26" s="315">
        <v>2.5</v>
      </c>
      <c r="L26" s="315">
        <v>1.4</v>
      </c>
      <c r="M26" s="315">
        <v>1.2</v>
      </c>
      <c r="N26" s="179">
        <f>+M26+L26+K26+J26</f>
        <v>8.3</v>
      </c>
      <c r="O26" s="315">
        <v>3.8</v>
      </c>
      <c r="P26" s="315">
        <v>2.5</v>
      </c>
      <c r="Q26" s="315">
        <v>0.2</v>
      </c>
      <c r="R26" s="315">
        <v>3.6</v>
      </c>
      <c r="S26" s="179">
        <f>+R26+Q26+P26+O26</f>
        <v>10.1</v>
      </c>
    </row>
    <row r="27" spans="1:19" ht="17.25" customHeight="1">
      <c r="A27" s="345"/>
      <c r="B27" s="348" t="s">
        <v>74</v>
      </c>
      <c r="C27" s="298">
        <v>8.2</v>
      </c>
      <c r="D27" s="298">
        <v>11.5</v>
      </c>
      <c r="E27" s="316">
        <v>4</v>
      </c>
      <c r="F27" s="316">
        <v>3.1</v>
      </c>
      <c r="G27" s="316">
        <v>3.8</v>
      </c>
      <c r="H27" s="316">
        <v>1.5</v>
      </c>
      <c r="I27" s="180">
        <f>+H27+G27+F27+E27</f>
        <v>12.4</v>
      </c>
      <c r="J27" s="316">
        <v>4</v>
      </c>
      <c r="K27" s="316">
        <v>2.7</v>
      </c>
      <c r="L27" s="316">
        <v>2.9</v>
      </c>
      <c r="M27" s="316">
        <v>0.8</v>
      </c>
      <c r="N27" s="180">
        <f>+M27+L27+K27+J27</f>
        <v>10.4</v>
      </c>
      <c r="O27" s="316">
        <v>2.8</v>
      </c>
      <c r="P27" s="316">
        <v>2</v>
      </c>
      <c r="Q27" s="316">
        <v>3.5</v>
      </c>
      <c r="R27" s="316">
        <v>1.8</v>
      </c>
      <c r="S27" s="180">
        <f>+R27+Q27+P27+O27</f>
        <v>10.1</v>
      </c>
    </row>
    <row r="28" spans="1:19" ht="17.25" customHeight="1" thickBot="1">
      <c r="A28" s="345"/>
      <c r="B28" s="76" t="s">
        <v>185</v>
      </c>
      <c r="C28" s="182">
        <f aca="true" t="shared" si="2" ref="C28:S28">SUM(C24:C27)</f>
        <v>40.1</v>
      </c>
      <c r="D28" s="182">
        <f t="shared" si="2"/>
        <v>32.6</v>
      </c>
      <c r="E28" s="182">
        <f t="shared" si="2"/>
        <v>11.2</v>
      </c>
      <c r="F28" s="182">
        <f t="shared" si="2"/>
        <v>11.8</v>
      </c>
      <c r="G28" s="182">
        <f t="shared" si="2"/>
        <v>11.7</v>
      </c>
      <c r="H28" s="182">
        <f>SUM(H24:H27)</f>
        <v>5.9</v>
      </c>
      <c r="I28" s="182">
        <f>SUM(I24:I27)</f>
        <v>40.6</v>
      </c>
      <c r="J28" s="182">
        <f t="shared" si="2"/>
        <v>14.2</v>
      </c>
      <c r="K28" s="182">
        <f t="shared" si="2"/>
        <v>11.6</v>
      </c>
      <c r="L28" s="182">
        <f t="shared" si="2"/>
        <v>6.7</v>
      </c>
      <c r="M28" s="182">
        <f t="shared" si="2"/>
        <v>4.9</v>
      </c>
      <c r="N28" s="182">
        <f>SUM(N24:N27)</f>
        <v>37.4</v>
      </c>
      <c r="O28" s="182">
        <f t="shared" si="2"/>
        <v>5.5</v>
      </c>
      <c r="P28" s="182">
        <f t="shared" si="2"/>
        <v>5.5</v>
      </c>
      <c r="Q28" s="182">
        <f t="shared" si="2"/>
        <v>5.1</v>
      </c>
      <c r="R28" s="182">
        <f t="shared" si="2"/>
        <v>2.9</v>
      </c>
      <c r="S28" s="182">
        <f t="shared" si="2"/>
        <v>19</v>
      </c>
    </row>
    <row r="29" spans="1:19" ht="17.25" customHeight="1">
      <c r="A29" s="345"/>
      <c r="B29" s="71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</row>
    <row r="30" spans="1:19" ht="17.25" customHeight="1">
      <c r="A30" s="7"/>
      <c r="B30" s="13" t="s">
        <v>59</v>
      </c>
      <c r="C30" s="61"/>
      <c r="D30" s="61"/>
      <c r="E30" s="61"/>
      <c r="F30" s="61"/>
      <c r="G30" s="61"/>
      <c r="H30" s="61"/>
      <c r="I30" s="75"/>
      <c r="J30" s="61"/>
      <c r="K30" s="61"/>
      <c r="L30" s="61"/>
      <c r="M30" s="61"/>
      <c r="N30" s="75"/>
      <c r="O30" s="61"/>
      <c r="P30" s="61"/>
      <c r="Q30" s="61"/>
      <c r="R30" s="61"/>
      <c r="S30" s="75"/>
    </row>
    <row r="31" spans="1:19" ht="17.25" customHeight="1">
      <c r="A31" s="7"/>
      <c r="B31" s="89" t="s">
        <v>60</v>
      </c>
      <c r="C31" s="301">
        <v>40.1</v>
      </c>
      <c r="D31" s="301">
        <v>32.6</v>
      </c>
      <c r="E31" s="301">
        <v>11.2</v>
      </c>
      <c r="F31" s="301">
        <v>11.8</v>
      </c>
      <c r="G31" s="301">
        <v>11.7</v>
      </c>
      <c r="H31" s="317">
        <v>5.9</v>
      </c>
      <c r="I31" s="178">
        <f>E31+F31+G31+H31</f>
        <v>40.6</v>
      </c>
      <c r="J31" s="317">
        <v>14.2</v>
      </c>
      <c r="K31" s="317">
        <v>11.6</v>
      </c>
      <c r="L31" s="317">
        <v>6.7</v>
      </c>
      <c r="M31" s="317">
        <v>4.9</v>
      </c>
      <c r="N31" s="178">
        <f>J31+K31+L31+M31</f>
        <v>37.4</v>
      </c>
      <c r="O31" s="317">
        <v>5.5</v>
      </c>
      <c r="P31" s="317">
        <v>5.5</v>
      </c>
      <c r="Q31" s="317">
        <v>5.1</v>
      </c>
      <c r="R31" s="185">
        <v>2.9</v>
      </c>
      <c r="S31" s="178">
        <v>19</v>
      </c>
    </row>
    <row r="32" spans="1:19" ht="17.25" customHeight="1">
      <c r="A32" s="7"/>
      <c r="B32" s="347" t="s">
        <v>107</v>
      </c>
      <c r="C32" s="183">
        <f aca="true" t="shared" si="3" ref="C32:H32">SUM(C33:C35)</f>
        <v>-233.6</v>
      </c>
      <c r="D32" s="183">
        <f t="shared" si="3"/>
        <v>68.6</v>
      </c>
      <c r="E32" s="183">
        <f t="shared" si="3"/>
        <v>9.4</v>
      </c>
      <c r="F32" s="183">
        <f t="shared" si="3"/>
        <v>-29.7</v>
      </c>
      <c r="G32" s="183">
        <f t="shared" si="3"/>
        <v>-5.8</v>
      </c>
      <c r="H32" s="174">
        <f t="shared" si="3"/>
        <v>-11.1</v>
      </c>
      <c r="I32" s="178">
        <f>E32+F32+G32+H32</f>
        <v>-37.2</v>
      </c>
      <c r="J32" s="174">
        <f>SUM(J33:J35)</f>
        <v>1.9</v>
      </c>
      <c r="K32" s="174">
        <f>SUM(K33:K35)</f>
        <v>-47.3</v>
      </c>
      <c r="L32" s="174">
        <f>SUM(L33:L35)</f>
        <v>-28.4</v>
      </c>
      <c r="M32" s="174">
        <f>SUM(M33:M35)</f>
        <v>23.5</v>
      </c>
      <c r="N32" s="178">
        <f>J32+K32+L32+M32</f>
        <v>-50.3</v>
      </c>
      <c r="O32" s="174">
        <f>SUM(O33:O35)</f>
        <v>16.5</v>
      </c>
      <c r="P32" s="174">
        <f>SUM(P33:P35)</f>
        <v>-3.6</v>
      </c>
      <c r="Q32" s="174">
        <f>SUM(Q33:Q35)</f>
        <v>24.1</v>
      </c>
      <c r="R32" s="174">
        <v>-7.7</v>
      </c>
      <c r="S32" s="178">
        <v>29.3</v>
      </c>
    </row>
    <row r="33" spans="1:19" ht="17.25" customHeight="1">
      <c r="A33" s="7"/>
      <c r="B33" s="343" t="s">
        <v>186</v>
      </c>
      <c r="C33" s="302">
        <v>-174</v>
      </c>
      <c r="D33" s="302">
        <v>77.9</v>
      </c>
      <c r="E33" s="350">
        <v>16.1</v>
      </c>
      <c r="F33" s="350">
        <v>-21.7</v>
      </c>
      <c r="G33" s="350">
        <v>23.8</v>
      </c>
      <c r="H33" s="318">
        <v>17.8</v>
      </c>
      <c r="I33" s="178">
        <f>E33+F33+G33+H33</f>
        <v>36</v>
      </c>
      <c r="J33" s="318">
        <v>3.5</v>
      </c>
      <c r="K33" s="318">
        <v>-3.4</v>
      </c>
      <c r="L33" s="318">
        <v>-48.1</v>
      </c>
      <c r="M33" s="318">
        <v>12.1</v>
      </c>
      <c r="N33" s="178">
        <f>J33+K33+L33+M33</f>
        <v>-35.9</v>
      </c>
      <c r="O33" s="318">
        <v>31.9</v>
      </c>
      <c r="P33" s="318">
        <v>-18.3</v>
      </c>
      <c r="Q33" s="318">
        <v>24.6</v>
      </c>
      <c r="R33" s="177">
        <v>10.9</v>
      </c>
      <c r="S33" s="178">
        <v>49.1</v>
      </c>
    </row>
    <row r="34" spans="1:19" ht="17.25" customHeight="1">
      <c r="A34" s="7"/>
      <c r="B34" s="343" t="s">
        <v>109</v>
      </c>
      <c r="C34" s="303">
        <v>-54.3</v>
      </c>
      <c r="D34" s="303">
        <v>-3.4</v>
      </c>
      <c r="E34" s="351">
        <v>-4.2</v>
      </c>
      <c r="F34" s="351">
        <v>-7.3</v>
      </c>
      <c r="G34" s="351">
        <v>-28.7</v>
      </c>
      <c r="H34" s="315">
        <v>-27</v>
      </c>
      <c r="I34" s="178">
        <f>E34+F34+G34+H34</f>
        <v>-67.2</v>
      </c>
      <c r="J34" s="315">
        <v>0.1</v>
      </c>
      <c r="K34" s="315">
        <v>-38.9</v>
      </c>
      <c r="L34" s="315">
        <v>19.8</v>
      </c>
      <c r="M34" s="315">
        <v>11.4</v>
      </c>
      <c r="N34" s="178">
        <f>J34+K34+L34+M34</f>
        <v>-7.6</v>
      </c>
      <c r="O34" s="315">
        <v>-15.1</v>
      </c>
      <c r="P34" s="315">
        <v>14.8</v>
      </c>
      <c r="Q34" s="315">
        <v>-0.4</v>
      </c>
      <c r="R34" s="177">
        <v>-11.9</v>
      </c>
      <c r="S34" s="178">
        <v>-12.6</v>
      </c>
    </row>
    <row r="35" spans="1:19" ht="16.5" customHeight="1">
      <c r="A35" s="7"/>
      <c r="B35" s="344" t="s">
        <v>162</v>
      </c>
      <c r="C35" s="304">
        <v>-5.3</v>
      </c>
      <c r="D35" s="304">
        <v>-5.9</v>
      </c>
      <c r="E35" s="352">
        <v>-2.5</v>
      </c>
      <c r="F35" s="352">
        <v>-0.7</v>
      </c>
      <c r="G35" s="352">
        <v>-0.9</v>
      </c>
      <c r="H35" s="319">
        <v>-1.9</v>
      </c>
      <c r="I35" s="180">
        <f>E35+F35+G35+H35</f>
        <v>-6</v>
      </c>
      <c r="J35" s="319">
        <v>-1.7</v>
      </c>
      <c r="K35" s="319">
        <v>-5</v>
      </c>
      <c r="L35" s="319">
        <v>-0.1</v>
      </c>
      <c r="M35" s="353">
        <v>0</v>
      </c>
      <c r="N35" s="180">
        <f>J35+K35+L35+M35</f>
        <v>-6.8</v>
      </c>
      <c r="O35" s="319">
        <v>-0.3</v>
      </c>
      <c r="P35" s="319">
        <v>-0.1</v>
      </c>
      <c r="Q35" s="319">
        <v>-0.1</v>
      </c>
      <c r="R35" s="186">
        <v>-6.7</v>
      </c>
      <c r="S35" s="180">
        <v>-7.2</v>
      </c>
    </row>
    <row r="36" spans="1:19" ht="16.5" customHeight="1" thickBot="1">
      <c r="A36" s="7"/>
      <c r="B36" s="118" t="s">
        <v>122</v>
      </c>
      <c r="C36" s="184">
        <f>C31+C32</f>
        <v>-193.5</v>
      </c>
      <c r="D36" s="184">
        <f aca="true" t="shared" si="4" ref="D36:S36">D31+D32</f>
        <v>101.2</v>
      </c>
      <c r="E36" s="184">
        <f t="shared" si="4"/>
        <v>20.6</v>
      </c>
      <c r="F36" s="184">
        <f t="shared" si="4"/>
        <v>-17.9</v>
      </c>
      <c r="G36" s="184">
        <f t="shared" si="4"/>
        <v>5.9</v>
      </c>
      <c r="H36" s="184">
        <f t="shared" si="4"/>
        <v>-5.2</v>
      </c>
      <c r="I36" s="184">
        <f t="shared" si="4"/>
        <v>3.4</v>
      </c>
      <c r="J36" s="184">
        <f t="shared" si="4"/>
        <v>16.1</v>
      </c>
      <c r="K36" s="184">
        <f t="shared" si="4"/>
        <v>-35.7</v>
      </c>
      <c r="L36" s="184">
        <f t="shared" si="4"/>
        <v>-21.7</v>
      </c>
      <c r="M36" s="184">
        <f t="shared" si="4"/>
        <v>28.4</v>
      </c>
      <c r="N36" s="184">
        <f t="shared" si="4"/>
        <v>-12.9</v>
      </c>
      <c r="O36" s="184">
        <f t="shared" si="4"/>
        <v>22</v>
      </c>
      <c r="P36" s="184">
        <f t="shared" si="4"/>
        <v>1.9</v>
      </c>
      <c r="Q36" s="184">
        <f t="shared" si="4"/>
        <v>29.2</v>
      </c>
      <c r="R36" s="184">
        <f t="shared" si="4"/>
        <v>-4.8</v>
      </c>
      <c r="S36" s="184">
        <f t="shared" si="4"/>
        <v>48.3</v>
      </c>
    </row>
    <row r="37" spans="1:19" ht="16.5" customHeight="1">
      <c r="A37" s="7"/>
      <c r="B37" s="141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</row>
    <row r="38" spans="1:19" ht="17.25" customHeight="1">
      <c r="A38" s="7"/>
      <c r="B38" s="13" t="s">
        <v>80</v>
      </c>
      <c r="C38" s="61"/>
      <c r="D38" s="61"/>
      <c r="E38" s="61"/>
      <c r="F38" s="61"/>
      <c r="G38" s="61"/>
      <c r="H38" s="61"/>
      <c r="I38" s="75"/>
      <c r="J38" s="61"/>
      <c r="K38" s="61"/>
      <c r="L38" s="61"/>
      <c r="M38" s="61"/>
      <c r="N38" s="75"/>
      <c r="O38" s="61"/>
      <c r="P38" s="61"/>
      <c r="Q38" s="61"/>
      <c r="R38" s="61"/>
      <c r="S38" s="75"/>
    </row>
    <row r="39" spans="1:19" ht="17.25" customHeight="1">
      <c r="A39" s="7"/>
      <c r="B39" s="89" t="s">
        <v>60</v>
      </c>
      <c r="C39" s="301">
        <v>4.7</v>
      </c>
      <c r="D39" s="301">
        <v>5</v>
      </c>
      <c r="E39" s="301">
        <v>5.9</v>
      </c>
      <c r="F39" s="301">
        <v>6</v>
      </c>
      <c r="G39" s="301">
        <v>6.1</v>
      </c>
      <c r="H39" s="317">
        <v>3.1</v>
      </c>
      <c r="I39" s="178">
        <v>5.3</v>
      </c>
      <c r="J39" s="317">
        <v>7.4</v>
      </c>
      <c r="K39" s="317">
        <v>6</v>
      </c>
      <c r="L39" s="317">
        <v>3.6</v>
      </c>
      <c r="M39" s="317">
        <v>2.7</v>
      </c>
      <c r="N39" s="178">
        <v>4.9</v>
      </c>
      <c r="O39" s="317">
        <v>2.9</v>
      </c>
      <c r="P39" s="317">
        <v>2.8</v>
      </c>
      <c r="Q39" s="317">
        <v>2.6</v>
      </c>
      <c r="R39" s="185">
        <v>1.4</v>
      </c>
      <c r="S39" s="178">
        <v>2.5</v>
      </c>
    </row>
    <row r="40" spans="1:19" ht="17.25" customHeight="1">
      <c r="A40" s="7"/>
      <c r="B40" s="348" t="s">
        <v>107</v>
      </c>
      <c r="C40" s="298">
        <v>-27.4</v>
      </c>
      <c r="D40" s="298">
        <v>10.4</v>
      </c>
      <c r="E40" s="316">
        <v>4.9</v>
      </c>
      <c r="F40" s="316">
        <v>-15.2</v>
      </c>
      <c r="G40" s="316">
        <v>-3</v>
      </c>
      <c r="H40" s="316">
        <v>-5.8</v>
      </c>
      <c r="I40" s="180">
        <v>-4.9</v>
      </c>
      <c r="J40" s="316">
        <v>1</v>
      </c>
      <c r="K40" s="316">
        <v>-24.3</v>
      </c>
      <c r="L40" s="316">
        <v>-15.3</v>
      </c>
      <c r="M40" s="316">
        <v>13</v>
      </c>
      <c r="N40" s="180">
        <v>-6.6</v>
      </c>
      <c r="O40" s="316">
        <v>8.8</v>
      </c>
      <c r="P40" s="316">
        <v>-1.8</v>
      </c>
      <c r="Q40" s="316">
        <v>12.5</v>
      </c>
      <c r="R40" s="316">
        <v>-3.8</v>
      </c>
      <c r="S40" s="180">
        <v>3.9</v>
      </c>
    </row>
    <row r="41" spans="1:19" ht="30.75" customHeight="1" thickBot="1">
      <c r="A41" s="7"/>
      <c r="B41" s="118" t="s">
        <v>199</v>
      </c>
      <c r="C41" s="184">
        <f>C39+C40</f>
        <v>-22.7</v>
      </c>
      <c r="D41" s="184">
        <f aca="true" t="shared" si="5" ref="D41:S41">D39+D40</f>
        <v>15.4</v>
      </c>
      <c r="E41" s="184">
        <f t="shared" si="5"/>
        <v>10.8</v>
      </c>
      <c r="F41" s="184">
        <f t="shared" si="5"/>
        <v>-9.2</v>
      </c>
      <c r="G41" s="184">
        <f t="shared" si="5"/>
        <v>3.1</v>
      </c>
      <c r="H41" s="184">
        <f t="shared" si="5"/>
        <v>-2.7</v>
      </c>
      <c r="I41" s="184">
        <f t="shared" si="5"/>
        <v>0.4</v>
      </c>
      <c r="J41" s="184">
        <f t="shared" si="5"/>
        <v>8.4</v>
      </c>
      <c r="K41" s="184">
        <f t="shared" si="5"/>
        <v>-18.3</v>
      </c>
      <c r="L41" s="184">
        <f t="shared" si="5"/>
        <v>-11.7</v>
      </c>
      <c r="M41" s="184">
        <f t="shared" si="5"/>
        <v>15.7</v>
      </c>
      <c r="N41" s="184">
        <f t="shared" si="5"/>
        <v>-1.7</v>
      </c>
      <c r="O41" s="184">
        <f t="shared" si="5"/>
        <v>11.7</v>
      </c>
      <c r="P41" s="184">
        <f t="shared" si="5"/>
        <v>1</v>
      </c>
      <c r="Q41" s="184">
        <f t="shared" si="5"/>
        <v>15.1</v>
      </c>
      <c r="R41" s="184">
        <f t="shared" si="5"/>
        <v>-2.4</v>
      </c>
      <c r="S41" s="184">
        <f t="shared" si="5"/>
        <v>6.4</v>
      </c>
    </row>
    <row r="42" spans="1:19" ht="16.5" customHeight="1">
      <c r="A42" s="7"/>
      <c r="B42" s="141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</row>
    <row r="43" spans="1:19" ht="17.25" customHeight="1">
      <c r="A43" s="7"/>
      <c r="B43" s="13" t="s">
        <v>62</v>
      </c>
      <c r="C43" s="61"/>
      <c r="D43" s="61"/>
      <c r="E43" s="61"/>
      <c r="F43" s="61"/>
      <c r="G43" s="61"/>
      <c r="H43" s="61"/>
      <c r="I43" s="75"/>
      <c r="J43" s="61"/>
      <c r="K43" s="61"/>
      <c r="L43" s="61"/>
      <c r="M43" s="61"/>
      <c r="N43" s="75"/>
      <c r="O43" s="61"/>
      <c r="P43" s="61"/>
      <c r="Q43" s="61"/>
      <c r="R43" s="61"/>
      <c r="S43" s="75"/>
    </row>
    <row r="44" spans="1:19" ht="17.25" customHeight="1">
      <c r="A44" s="7"/>
      <c r="B44" s="89" t="s">
        <v>60</v>
      </c>
      <c r="C44" s="301">
        <v>4.7</v>
      </c>
      <c r="D44" s="301">
        <v>5</v>
      </c>
      <c r="E44" s="301">
        <v>5.3</v>
      </c>
      <c r="F44" s="301">
        <v>5.5</v>
      </c>
      <c r="G44" s="301">
        <v>5.6</v>
      </c>
      <c r="H44" s="317">
        <v>5.3</v>
      </c>
      <c r="I44" s="178">
        <v>5.3</v>
      </c>
      <c r="J44" s="317">
        <v>5.6</v>
      </c>
      <c r="K44" s="317">
        <v>5.7</v>
      </c>
      <c r="L44" s="317">
        <v>5</v>
      </c>
      <c r="M44" s="317">
        <v>4.9</v>
      </c>
      <c r="N44" s="178">
        <v>4.9</v>
      </c>
      <c r="O44" s="317">
        <v>3.7</v>
      </c>
      <c r="P44" s="317">
        <v>3</v>
      </c>
      <c r="Q44" s="317">
        <v>2.9</v>
      </c>
      <c r="R44" s="185">
        <v>2.5</v>
      </c>
      <c r="S44" s="178">
        <f>R44</f>
        <v>2.5</v>
      </c>
    </row>
    <row r="45" spans="1:19" ht="17.25" customHeight="1">
      <c r="A45" s="7"/>
      <c r="B45" s="348" t="s">
        <v>107</v>
      </c>
      <c r="C45" s="298">
        <v>-27.4</v>
      </c>
      <c r="D45" s="298">
        <v>10.4</v>
      </c>
      <c r="E45" s="316">
        <v>10</v>
      </c>
      <c r="F45" s="316">
        <v>0.3</v>
      </c>
      <c r="G45" s="316">
        <v>-2.9</v>
      </c>
      <c r="H45" s="316">
        <v>-4.9</v>
      </c>
      <c r="I45" s="180">
        <v>-4.9</v>
      </c>
      <c r="J45" s="316">
        <v>-5.7</v>
      </c>
      <c r="K45" s="316">
        <v>-8.2</v>
      </c>
      <c r="L45" s="316">
        <v>-11.1</v>
      </c>
      <c r="M45" s="316">
        <v>-6.6</v>
      </c>
      <c r="N45" s="180">
        <v>-6.6</v>
      </c>
      <c r="O45" s="316">
        <v>-4.6</v>
      </c>
      <c r="P45" s="316">
        <v>1.1</v>
      </c>
      <c r="Q45" s="316">
        <v>8.4</v>
      </c>
      <c r="R45" s="316">
        <v>3.9</v>
      </c>
      <c r="S45" s="180">
        <f>R45</f>
        <v>3.9</v>
      </c>
    </row>
    <row r="46" spans="1:19" ht="30.75" customHeight="1" thickBot="1">
      <c r="A46" s="7"/>
      <c r="B46" s="118" t="s">
        <v>201</v>
      </c>
      <c r="C46" s="184">
        <f aca="true" t="shared" si="6" ref="C46:S46">C44+C45</f>
        <v>-22.7</v>
      </c>
      <c r="D46" s="184">
        <f t="shared" si="6"/>
        <v>15.4</v>
      </c>
      <c r="E46" s="184">
        <f t="shared" si="6"/>
        <v>15.3</v>
      </c>
      <c r="F46" s="184">
        <f t="shared" si="6"/>
        <v>5.8</v>
      </c>
      <c r="G46" s="184">
        <f t="shared" si="6"/>
        <v>2.7</v>
      </c>
      <c r="H46" s="184">
        <f t="shared" si="6"/>
        <v>0.4</v>
      </c>
      <c r="I46" s="184">
        <f t="shared" si="6"/>
        <v>0.4</v>
      </c>
      <c r="J46" s="184">
        <f t="shared" si="6"/>
        <v>-0.1</v>
      </c>
      <c r="K46" s="184">
        <f t="shared" si="6"/>
        <v>-2.5</v>
      </c>
      <c r="L46" s="184">
        <f t="shared" si="6"/>
        <v>-6.1</v>
      </c>
      <c r="M46" s="184">
        <f t="shared" si="6"/>
        <v>-1.7</v>
      </c>
      <c r="N46" s="184">
        <f t="shared" si="6"/>
        <v>-1.7</v>
      </c>
      <c r="O46" s="184">
        <f t="shared" si="6"/>
        <v>-0.9</v>
      </c>
      <c r="P46" s="184">
        <f t="shared" si="6"/>
        <v>4.1</v>
      </c>
      <c r="Q46" s="184">
        <f t="shared" si="6"/>
        <v>11.3</v>
      </c>
      <c r="R46" s="184">
        <f t="shared" si="6"/>
        <v>6.4</v>
      </c>
      <c r="S46" s="184">
        <f t="shared" si="6"/>
        <v>6.4</v>
      </c>
    </row>
    <row r="47" spans="1:19" ht="11.25" customHeight="1">
      <c r="A47" s="7"/>
      <c r="B47" s="141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 t="s">
        <v>173</v>
      </c>
      <c r="P47" s="139" t="s">
        <v>173</v>
      </c>
      <c r="Q47" s="139" t="s">
        <v>173</v>
      </c>
      <c r="R47" s="139" t="s">
        <v>173</v>
      </c>
      <c r="S47" s="139"/>
    </row>
    <row r="48" spans="1:19" ht="17.2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7.25" customHeight="1">
      <c r="A49" s="287"/>
      <c r="B49" s="7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</row>
    <row r="50" spans="1:19" s="18" customFormat="1" ht="17.25" customHeight="1">
      <c r="A50" s="195"/>
      <c r="B50" s="286" t="s">
        <v>207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60" ht="11.25" customHeight="1"/>
    <row r="68" ht="13.5" customHeight="1"/>
    <row r="84" ht="11.25" customHeight="1"/>
  </sheetData>
  <sheetProtection/>
  <mergeCells count="1">
    <mergeCell ref="B1:B2"/>
  </mergeCells>
  <conditionalFormatting sqref="R14 C11:S11 C14:N14 C21:S22 C28:S29">
    <cfRule type="cellIs" priority="15" dxfId="0" operator="equal" stopIfTrue="1">
      <formula>"Error"</formula>
    </cfRule>
  </conditionalFormatting>
  <conditionalFormatting sqref="S14">
    <cfRule type="cellIs" priority="14" dxfId="0" operator="equal" stopIfTrue="1">
      <formula>"Error"</formula>
    </cfRule>
  </conditionalFormatting>
  <conditionalFormatting sqref="O14">
    <cfRule type="cellIs" priority="5" dxfId="0" operator="equal" stopIfTrue="1">
      <formula>"Error"</formula>
    </cfRule>
  </conditionalFormatting>
  <conditionalFormatting sqref="P14">
    <cfRule type="cellIs" priority="4" dxfId="0" operator="equal" stopIfTrue="1">
      <formula>"Error"</formula>
    </cfRule>
  </conditionalFormatting>
  <conditionalFormatting sqref="Q14">
    <cfRule type="cellIs" priority="3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zoomScale="80" zoomScaleNormal="80" zoomScalePageLayoutView="0" workbookViewId="0" topLeftCell="A1">
      <pane xSplit="2" ySplit="2" topLeftCell="C3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1.7109375" defaultRowHeight="17.25" customHeight="1"/>
  <cols>
    <col min="1" max="1" width="2.7109375" style="1" customWidth="1"/>
    <col min="2" max="2" width="42.421875" style="1" customWidth="1"/>
    <col min="3" max="24" width="11.57421875" style="1" customWidth="1"/>
    <col min="25" max="16384" width="1.7109375" style="1" customWidth="1"/>
  </cols>
  <sheetData>
    <row r="1" spans="1:19" ht="21.75" customHeight="1">
      <c r="A1" s="2"/>
      <c r="B1" s="408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52"/>
      <c r="P1" s="252"/>
      <c r="Q1" s="252"/>
      <c r="R1" s="252"/>
      <c r="S1" s="3"/>
    </row>
    <row r="2" spans="1:19" ht="21.75" customHeight="1">
      <c r="A2" s="4"/>
      <c r="B2" s="407"/>
      <c r="C2" s="6">
        <v>2008</v>
      </c>
      <c r="D2" s="6">
        <v>2009</v>
      </c>
      <c r="E2" s="5" t="s">
        <v>134</v>
      </c>
      <c r="F2" s="5" t="s">
        <v>143</v>
      </c>
      <c r="G2" s="5" t="s">
        <v>146</v>
      </c>
      <c r="H2" s="5" t="s">
        <v>147</v>
      </c>
      <c r="I2" s="6">
        <v>2010</v>
      </c>
      <c r="J2" s="5" t="s">
        <v>149</v>
      </c>
      <c r="K2" s="5" t="s">
        <v>165</v>
      </c>
      <c r="L2" s="5" t="s">
        <v>169</v>
      </c>
      <c r="M2" s="5" t="s">
        <v>170</v>
      </c>
      <c r="N2" s="6">
        <v>2011</v>
      </c>
      <c r="O2" s="5" t="s">
        <v>172</v>
      </c>
      <c r="P2" s="5" t="s">
        <v>175</v>
      </c>
      <c r="Q2" s="5" t="s">
        <v>176</v>
      </c>
      <c r="R2" s="5" t="s">
        <v>177</v>
      </c>
      <c r="S2" s="6">
        <v>2012</v>
      </c>
    </row>
    <row r="3" spans="1:19" s="8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6.5" thickBot="1">
      <c r="A4" s="7"/>
      <c r="B4" s="9" t="s">
        <v>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7.25" customHeight="1" thickTop="1">
      <c r="A5" s="7"/>
      <c r="B5" s="11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7.25" customHeight="1">
      <c r="A6" s="7"/>
      <c r="B6" s="13" t="s">
        <v>95</v>
      </c>
      <c r="C6" s="56"/>
      <c r="D6" s="56"/>
      <c r="E6" s="15"/>
      <c r="F6" s="15"/>
      <c r="G6" s="15"/>
      <c r="H6" s="15"/>
      <c r="I6" s="56"/>
      <c r="J6" s="15"/>
      <c r="K6" s="15"/>
      <c r="L6" s="15"/>
      <c r="M6" s="15"/>
      <c r="N6" s="56"/>
      <c r="O6" s="15"/>
      <c r="P6" s="15"/>
      <c r="Q6" s="15"/>
      <c r="R6" s="15"/>
      <c r="S6" s="56"/>
    </row>
    <row r="7" spans="1:19" s="18" customFormat="1" ht="17.25" customHeight="1" thickBot="1">
      <c r="A7" s="7"/>
      <c r="B7" s="26" t="s">
        <v>11</v>
      </c>
      <c r="C7" s="147">
        <v>2486</v>
      </c>
      <c r="D7" s="147">
        <v>2163</v>
      </c>
      <c r="E7" s="147">
        <v>513</v>
      </c>
      <c r="F7" s="147">
        <v>545</v>
      </c>
      <c r="G7" s="147">
        <v>491</v>
      </c>
      <c r="H7" s="147">
        <v>483</v>
      </c>
      <c r="I7" s="147">
        <f>SUM(E7:H7)</f>
        <v>2032</v>
      </c>
      <c r="J7" s="147">
        <v>541</v>
      </c>
      <c r="K7" s="147">
        <v>530</v>
      </c>
      <c r="L7" s="147">
        <v>509</v>
      </c>
      <c r="M7" s="147">
        <v>485</v>
      </c>
      <c r="N7" s="147">
        <f>SUM(J7:M7)</f>
        <v>2065</v>
      </c>
      <c r="O7" s="147">
        <v>537</v>
      </c>
      <c r="P7" s="147">
        <v>534</v>
      </c>
      <c r="Q7" s="147">
        <v>508</v>
      </c>
      <c r="R7" s="147">
        <v>547</v>
      </c>
      <c r="S7" s="147">
        <f>SUM(O7:R7)</f>
        <v>2126</v>
      </c>
    </row>
    <row r="8" spans="1:19" s="18" customFormat="1" ht="17.25" customHeight="1" thickBot="1">
      <c r="A8" s="7"/>
      <c r="B8" s="26" t="s">
        <v>12</v>
      </c>
      <c r="C8" s="147">
        <f>+'PB &amp; WM'!C8-WMC!C8</f>
        <v>-8</v>
      </c>
      <c r="D8" s="147">
        <f>+'PB &amp; WM'!D8-WMC!D8</f>
        <v>146</v>
      </c>
      <c r="E8" s="147">
        <f>+'PB &amp; WM'!E8-WMC!E8</f>
        <v>-13</v>
      </c>
      <c r="F8" s="147">
        <f>+'PB &amp; WM'!F8-WMC!F8</f>
        <v>-13</v>
      </c>
      <c r="G8" s="147">
        <f>+'PB &amp; WM'!G8-WMC!G8</f>
        <v>-16</v>
      </c>
      <c r="H8" s="147">
        <f>+'PB &amp; WM'!H8-WMC!H8</f>
        <v>-10</v>
      </c>
      <c r="I8" s="147">
        <f>SUM(E8:H8)</f>
        <v>-52</v>
      </c>
      <c r="J8" s="40">
        <f>+'PB &amp; WM'!J8-WMC!J8</f>
        <v>0</v>
      </c>
      <c r="K8" s="40">
        <f>+'PB &amp; WM'!K8-WMC!K8</f>
        <v>-10</v>
      </c>
      <c r="L8" s="40">
        <f>+'PB &amp; WM'!L8-WMC!L8</f>
        <v>6</v>
      </c>
      <c r="M8" s="40">
        <f>+'PB &amp; WM'!M8-WMC!M8</f>
        <v>37</v>
      </c>
      <c r="N8" s="147">
        <f>SUM(J8:M8)</f>
        <v>33</v>
      </c>
      <c r="O8" s="40">
        <f>+'PB &amp; WM'!O8-WMC!O8</f>
        <v>19</v>
      </c>
      <c r="P8" s="40">
        <f>+'PB &amp; WM'!P8-WMC!P8</f>
        <v>11</v>
      </c>
      <c r="Q8" s="40">
        <f>+'PB &amp; WM'!Q8-WMC!Q8</f>
        <v>10</v>
      </c>
      <c r="R8" s="40">
        <f>+'PB &amp; WM'!R8-WMC!R8</f>
        <v>32</v>
      </c>
      <c r="S8" s="147">
        <f>+'PB &amp; WM'!S8-WMC!S8</f>
        <v>72</v>
      </c>
    </row>
    <row r="9" spans="1:19" s="18" customFormat="1" ht="17.25" customHeight="1" thickBot="1">
      <c r="A9" s="7"/>
      <c r="B9" s="26" t="s">
        <v>17</v>
      </c>
      <c r="C9" s="147">
        <v>1025</v>
      </c>
      <c r="D9" s="147">
        <v>1052</v>
      </c>
      <c r="E9" s="147">
        <v>278</v>
      </c>
      <c r="F9" s="147">
        <v>289</v>
      </c>
      <c r="G9" s="147">
        <v>271</v>
      </c>
      <c r="H9" s="147">
        <v>275</v>
      </c>
      <c r="I9" s="147">
        <f>SUM(E9:H9)</f>
        <v>1113</v>
      </c>
      <c r="J9" s="147">
        <v>281</v>
      </c>
      <c r="K9" s="147">
        <v>273</v>
      </c>
      <c r="L9" s="147">
        <v>280</v>
      </c>
      <c r="M9" s="147">
        <v>277</v>
      </c>
      <c r="N9" s="147">
        <f>SUM(J9:M9)</f>
        <v>1111</v>
      </c>
      <c r="O9" s="147">
        <v>271</v>
      </c>
      <c r="P9" s="147">
        <v>278</v>
      </c>
      <c r="Q9" s="147">
        <v>284</v>
      </c>
      <c r="R9" s="147">
        <v>277</v>
      </c>
      <c r="S9" s="147">
        <f>SUM(O9:R9)</f>
        <v>1110</v>
      </c>
    </row>
    <row r="10" spans="1:19" s="18" customFormat="1" ht="17.25" customHeight="1" thickBot="1">
      <c r="A10" s="7"/>
      <c r="B10" s="39" t="s">
        <v>91</v>
      </c>
      <c r="C10" s="172">
        <f>C7-C8-C9</f>
        <v>1469</v>
      </c>
      <c r="D10" s="172">
        <f>D7-D8-D9</f>
        <v>965</v>
      </c>
      <c r="E10" s="172">
        <f>E7-E8-E9</f>
        <v>248</v>
      </c>
      <c r="F10" s="172">
        <f>F7-F8-F9</f>
        <v>269</v>
      </c>
      <c r="G10" s="172">
        <f>G7-G8-G9</f>
        <v>236</v>
      </c>
      <c r="H10" s="172">
        <f aca="true" t="shared" si="0" ref="H10:M10">H7-H8-H9</f>
        <v>218</v>
      </c>
      <c r="I10" s="172">
        <f t="shared" si="0"/>
        <v>971</v>
      </c>
      <c r="J10" s="172">
        <f t="shared" si="0"/>
        <v>260</v>
      </c>
      <c r="K10" s="172">
        <f t="shared" si="0"/>
        <v>267</v>
      </c>
      <c r="L10" s="172">
        <f t="shared" si="0"/>
        <v>223</v>
      </c>
      <c r="M10" s="172">
        <f t="shared" si="0"/>
        <v>171</v>
      </c>
      <c r="N10" s="172">
        <f>SUM(J10:M10)</f>
        <v>921</v>
      </c>
      <c r="O10" s="172">
        <f>O7-O8-O9</f>
        <v>247</v>
      </c>
      <c r="P10" s="172">
        <f>P7-P8-P9</f>
        <v>245</v>
      </c>
      <c r="Q10" s="172">
        <f>Q7-Q8-Q9</f>
        <v>214</v>
      </c>
      <c r="R10" s="172">
        <f>R7-R8-R9</f>
        <v>238</v>
      </c>
      <c r="S10" s="172">
        <f>S7-S8-S9</f>
        <v>944</v>
      </c>
    </row>
    <row r="11" spans="1:19" ht="17.25" customHeight="1">
      <c r="A11" s="7"/>
      <c r="B11" s="11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7.25" customHeight="1">
      <c r="A12" s="7"/>
      <c r="B12" s="13" t="s">
        <v>96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7.25" customHeight="1">
      <c r="A13" s="7"/>
      <c r="B13" s="28" t="s">
        <v>36</v>
      </c>
      <c r="C13" s="175">
        <f>+C9/C7*100</f>
        <v>41.2</v>
      </c>
      <c r="D13" s="175">
        <f>+D9/D7*100</f>
        <v>48.6</v>
      </c>
      <c r="E13" s="175">
        <f>+E9/E7*100</f>
        <v>54.2</v>
      </c>
      <c r="F13" s="175">
        <f>+F9/F7*100</f>
        <v>53</v>
      </c>
      <c r="G13" s="175">
        <f>+G9/G7*100</f>
        <v>55.2</v>
      </c>
      <c r="H13" s="175">
        <f aca="true" t="shared" si="1" ref="H13:N13">+H9/H7*100</f>
        <v>56.9</v>
      </c>
      <c r="I13" s="175">
        <f t="shared" si="1"/>
        <v>54.8</v>
      </c>
      <c r="J13" s="175">
        <f t="shared" si="1"/>
        <v>51.9</v>
      </c>
      <c r="K13" s="175">
        <f t="shared" si="1"/>
        <v>51.5</v>
      </c>
      <c r="L13" s="175">
        <f t="shared" si="1"/>
        <v>55</v>
      </c>
      <c r="M13" s="175">
        <f t="shared" si="1"/>
        <v>57.1</v>
      </c>
      <c r="N13" s="175">
        <f t="shared" si="1"/>
        <v>53.8</v>
      </c>
      <c r="O13" s="175">
        <f>+O9/O7*100</f>
        <v>50.5</v>
      </c>
      <c r="P13" s="175">
        <f>+P9/P7*100</f>
        <v>52.1</v>
      </c>
      <c r="Q13" s="175">
        <f>+Q9/Q7*100</f>
        <v>55.9</v>
      </c>
      <c r="R13" s="175">
        <f>+R9/R7*100</f>
        <v>50.6</v>
      </c>
      <c r="S13" s="175">
        <f>+S9/S7*100</f>
        <v>52.2</v>
      </c>
    </row>
    <row r="14" spans="1:19" ht="17.25" customHeight="1" thickBot="1">
      <c r="A14" s="7"/>
      <c r="B14" s="58" t="s">
        <v>37</v>
      </c>
      <c r="C14" s="176">
        <f>+C10/C7*100</f>
        <v>59.1</v>
      </c>
      <c r="D14" s="176">
        <f>+D10/D7*100</f>
        <v>44.6</v>
      </c>
      <c r="E14" s="176">
        <f>+E10/E7*100</f>
        <v>48.3</v>
      </c>
      <c r="F14" s="176">
        <f>+F10/F7*100</f>
        <v>49.4</v>
      </c>
      <c r="G14" s="176">
        <f>+G10/G7*100</f>
        <v>48.1</v>
      </c>
      <c r="H14" s="176">
        <f aca="true" t="shared" si="2" ref="H14:N14">+H10/H7*100</f>
        <v>45.1</v>
      </c>
      <c r="I14" s="176">
        <f t="shared" si="2"/>
        <v>47.8</v>
      </c>
      <c r="J14" s="176">
        <f t="shared" si="2"/>
        <v>48.1</v>
      </c>
      <c r="K14" s="176">
        <f t="shared" si="2"/>
        <v>50.4</v>
      </c>
      <c r="L14" s="176">
        <f t="shared" si="2"/>
        <v>43.8</v>
      </c>
      <c r="M14" s="176">
        <f t="shared" si="2"/>
        <v>35.3</v>
      </c>
      <c r="N14" s="176">
        <f t="shared" si="2"/>
        <v>44.6</v>
      </c>
      <c r="O14" s="176">
        <f>+O10/O7*100</f>
        <v>46</v>
      </c>
      <c r="P14" s="176">
        <f>+P10/P7*100</f>
        <v>45.9</v>
      </c>
      <c r="Q14" s="176">
        <f>+Q10/Q7*100</f>
        <v>42.1</v>
      </c>
      <c r="R14" s="176">
        <f>+R10/R7*100</f>
        <v>43.5</v>
      </c>
      <c r="S14" s="176">
        <f>+S10/S7*100</f>
        <v>44.4</v>
      </c>
    </row>
    <row r="15" spans="1:19" ht="17.25" customHeight="1">
      <c r="A15" s="7"/>
      <c r="B15" s="19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7.25" customHeight="1">
      <c r="A16" s="7"/>
      <c r="B16" s="13" t="s">
        <v>27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8" customFormat="1" ht="17.25" customHeight="1">
      <c r="A17" s="7"/>
      <c r="B17" s="24" t="s">
        <v>7</v>
      </c>
      <c r="C17" s="154">
        <f>+'PB &amp; WM'!C31-WMC!C17</f>
        <v>1410</v>
      </c>
      <c r="D17" s="154">
        <f>+'PB &amp; WM'!D31-WMC!D17</f>
        <v>1302</v>
      </c>
      <c r="E17" s="154">
        <f>+'PB &amp; WM'!E31-WMC!E17</f>
        <v>295</v>
      </c>
      <c r="F17" s="154">
        <f>+'PB &amp; WM'!F31-WMC!F17</f>
        <v>303</v>
      </c>
      <c r="G17" s="154">
        <f>+'PB &amp; WM'!G31-WMC!G17</f>
        <v>290</v>
      </c>
      <c r="H17" s="154">
        <f>+'PB &amp; WM'!H31-WMC!H17</f>
        <v>302</v>
      </c>
      <c r="I17" s="154">
        <f>SUM(E17:H17)</f>
        <v>1190</v>
      </c>
      <c r="J17" s="154">
        <v>297</v>
      </c>
      <c r="K17" s="154">
        <v>296</v>
      </c>
      <c r="L17" s="154">
        <v>288</v>
      </c>
      <c r="M17" s="154">
        <v>304</v>
      </c>
      <c r="N17" s="154">
        <f>SUM(J17:M17)</f>
        <v>1185</v>
      </c>
      <c r="O17" s="154">
        <v>297</v>
      </c>
      <c r="P17" s="154">
        <v>303</v>
      </c>
      <c r="Q17" s="154">
        <v>301</v>
      </c>
      <c r="R17" s="154">
        <f>+'PB &amp; WM'!R31-WMC!R17</f>
        <v>306</v>
      </c>
      <c r="S17" s="154">
        <f>+'PB &amp; WM'!S31-WMC!S17</f>
        <v>1207</v>
      </c>
    </row>
    <row r="18" spans="1:19" s="18" customFormat="1" ht="17.25" customHeight="1">
      <c r="A18" s="7"/>
      <c r="B18" s="16" t="s">
        <v>150</v>
      </c>
      <c r="C18" s="210">
        <v>417</v>
      </c>
      <c r="D18" s="210">
        <v>393</v>
      </c>
      <c r="E18" s="210">
        <v>105</v>
      </c>
      <c r="F18" s="210">
        <v>110</v>
      </c>
      <c r="G18" s="210">
        <v>115</v>
      </c>
      <c r="H18" s="210">
        <v>116</v>
      </c>
      <c r="I18" s="210">
        <f>SUM(E18:H18)</f>
        <v>446</v>
      </c>
      <c r="J18" s="210">
        <v>110</v>
      </c>
      <c r="K18" s="210">
        <v>115</v>
      </c>
      <c r="L18" s="210">
        <v>100</v>
      </c>
      <c r="M18" s="210">
        <v>96</v>
      </c>
      <c r="N18" s="210">
        <f>SUM(J18:M18)</f>
        <v>421</v>
      </c>
      <c r="O18" s="210">
        <v>115</v>
      </c>
      <c r="P18" s="210">
        <v>115</v>
      </c>
      <c r="Q18" s="210">
        <v>105</v>
      </c>
      <c r="R18" s="210">
        <f>+'PB &amp; WM'!R32-WMC!R18-'Asset Management'!R28</f>
        <v>115</v>
      </c>
      <c r="S18" s="210">
        <f>+'PB &amp; WM'!S32-WMC!S18-'Asset Management'!S28</f>
        <v>450</v>
      </c>
    </row>
    <row r="19" spans="1:19" s="18" customFormat="1" ht="17.25" customHeight="1">
      <c r="A19" s="7"/>
      <c r="B19" s="16" t="s">
        <v>187</v>
      </c>
      <c r="C19" s="210">
        <v>549</v>
      </c>
      <c r="D19" s="210">
        <v>586</v>
      </c>
      <c r="E19" s="210">
        <v>125</v>
      </c>
      <c r="F19" s="210">
        <v>133</v>
      </c>
      <c r="G19" s="210">
        <v>107</v>
      </c>
      <c r="H19" s="210">
        <v>80</v>
      </c>
      <c r="I19" s="210">
        <f>SUM(E19:H19)</f>
        <v>445</v>
      </c>
      <c r="J19" s="210">
        <v>145</v>
      </c>
      <c r="K19" s="210">
        <v>123</v>
      </c>
      <c r="L19" s="210">
        <v>115</v>
      </c>
      <c r="M19" s="210">
        <v>93</v>
      </c>
      <c r="N19" s="210">
        <f>SUM(J19:M19)</f>
        <v>476</v>
      </c>
      <c r="O19" s="210">
        <v>141</v>
      </c>
      <c r="P19" s="210">
        <v>120</v>
      </c>
      <c r="Q19" s="210">
        <v>111</v>
      </c>
      <c r="R19" s="210">
        <f>'PB &amp; WM'!R33-WMC!R19-'Asset Management'!R29</f>
        <v>107</v>
      </c>
      <c r="S19" s="210">
        <f>'PB &amp; WM'!S33-WMC!S19-'Asset Management'!S29</f>
        <v>479</v>
      </c>
    </row>
    <row r="20" spans="1:19" s="18" customFormat="1" ht="17.25" customHeight="1">
      <c r="A20" s="7"/>
      <c r="B20" s="381" t="s">
        <v>10</v>
      </c>
      <c r="C20" s="155">
        <v>110</v>
      </c>
      <c r="D20" s="155">
        <v>-118</v>
      </c>
      <c r="E20" s="155">
        <v>-12</v>
      </c>
      <c r="F20" s="155">
        <v>-1</v>
      </c>
      <c r="G20" s="155">
        <v>-21</v>
      </c>
      <c r="H20" s="155">
        <v>-15</v>
      </c>
      <c r="I20" s="155">
        <f>SUM(E20:H20)</f>
        <v>-49</v>
      </c>
      <c r="J20" s="155">
        <v>-11</v>
      </c>
      <c r="K20" s="155">
        <v>-4</v>
      </c>
      <c r="L20" s="155">
        <v>6</v>
      </c>
      <c r="M20" s="155">
        <v>-8</v>
      </c>
      <c r="N20" s="155">
        <f>SUM(J20:M20)</f>
        <v>-17</v>
      </c>
      <c r="O20" s="155">
        <v>-16</v>
      </c>
      <c r="P20" s="155">
        <v>-4</v>
      </c>
      <c r="Q20" s="155">
        <v>-9</v>
      </c>
      <c r="R20" s="155">
        <f>'PB &amp; WM'!R34-WMC!R20-'Asset Management'!R30</f>
        <v>19</v>
      </c>
      <c r="S20" s="155">
        <f>'PB &amp; WM'!S34-WMC!S20-'Asset Management'!S30</f>
        <v>-10</v>
      </c>
    </row>
    <row r="21" spans="1:19" s="18" customFormat="1" ht="17.25" customHeight="1" thickBot="1">
      <c r="A21" s="37"/>
      <c r="B21" s="33" t="s">
        <v>11</v>
      </c>
      <c r="C21" s="156">
        <f aca="true" t="shared" si="3" ref="C21:M21">IF((SUM(C17:C20))=C7,SUM(C17:C20),"Error")</f>
        <v>2486</v>
      </c>
      <c r="D21" s="156">
        <f t="shared" si="3"/>
        <v>2163</v>
      </c>
      <c r="E21" s="156">
        <f t="shared" si="3"/>
        <v>513</v>
      </c>
      <c r="F21" s="156">
        <f t="shared" si="3"/>
        <v>545</v>
      </c>
      <c r="G21" s="156">
        <f t="shared" si="3"/>
        <v>491</v>
      </c>
      <c r="H21" s="156">
        <f t="shared" si="3"/>
        <v>483</v>
      </c>
      <c r="I21" s="156">
        <f t="shared" si="3"/>
        <v>2032</v>
      </c>
      <c r="J21" s="156">
        <f t="shared" si="3"/>
        <v>541</v>
      </c>
      <c r="K21" s="156">
        <f t="shared" si="3"/>
        <v>530</v>
      </c>
      <c r="L21" s="156">
        <f t="shared" si="3"/>
        <v>509</v>
      </c>
      <c r="M21" s="156">
        <f t="shared" si="3"/>
        <v>485</v>
      </c>
      <c r="N21" s="156">
        <f>SUM(J21:M21)</f>
        <v>2065</v>
      </c>
      <c r="O21" s="156">
        <f>IF((SUM(O17:O20))=O7,SUM(O17:O20),"Error")</f>
        <v>537</v>
      </c>
      <c r="P21" s="156">
        <f>IF((SUM(P17:P20))=P7,SUM(P17:P20),"Error")</f>
        <v>534</v>
      </c>
      <c r="Q21" s="156">
        <f>IF((SUM(Q17:Q20))=Q7,SUM(Q17:Q20),"Error")</f>
        <v>508</v>
      </c>
      <c r="R21" s="156">
        <f>IF((SUM(R17:R20))=R7,SUM(R17:R20),"Error")</f>
        <v>547</v>
      </c>
      <c r="S21" s="156">
        <f>IF((SUM(S17:S20))=S7,SUM(S17:S20),"Error")</f>
        <v>2126</v>
      </c>
    </row>
    <row r="22" spans="1:19" ht="9" customHeight="1">
      <c r="A22" s="132"/>
      <c r="B22" s="1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7.2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5" customHeight="1">
      <c r="A24" s="132"/>
      <c r="B24" s="19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s="18" customFormat="1" ht="17.25" customHeight="1">
      <c r="A25" s="194"/>
      <c r="B25" s="286" t="s">
        <v>207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31" ht="11.25" customHeight="1"/>
    <row r="39" ht="13.5" customHeight="1"/>
    <row r="55" ht="11.25" customHeight="1"/>
  </sheetData>
  <sheetProtection/>
  <mergeCells count="1">
    <mergeCell ref="B1:B2"/>
  </mergeCells>
  <conditionalFormatting sqref="C21:N21">
    <cfRule type="cellIs" priority="9" dxfId="0" operator="equal" stopIfTrue="1">
      <formula>"Error"</formula>
    </cfRule>
  </conditionalFormatting>
  <conditionalFormatting sqref="O21">
    <cfRule type="cellIs" priority="3" dxfId="0" operator="equal" stopIfTrue="1">
      <formula>"Error"</formula>
    </cfRule>
  </conditionalFormatting>
  <conditionalFormatting sqref="P21">
    <cfRule type="cellIs" priority="2" dxfId="0" operator="equal" stopIfTrue="1">
      <formula>"Error"</formula>
    </cfRule>
  </conditionalFormatting>
  <conditionalFormatting sqref="Q21:S21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0" fitToWidth="1" horizontalDpi="600" verticalDpi="600" orientation="landscape" pageOrder="overThenDown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Küpfer Nicolas (TIBB)</cp:lastModifiedBy>
  <cp:lastPrinted>2013-03-21T16:46:16Z</cp:lastPrinted>
  <dcterms:created xsi:type="dcterms:W3CDTF">2007-04-25T19:38:13Z</dcterms:created>
  <dcterms:modified xsi:type="dcterms:W3CDTF">2013-03-21T16:51:00Z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1505540399</vt:i4>
  </property>
  <property fmtid="{D5CDD505-2E9C-101B-9397-08002B2CF9AE}" pid="4" name="_NewReviewCyc">
    <vt:lpwstr/>
  </property>
  <property fmtid="{D5CDD505-2E9C-101B-9397-08002B2CF9AE}" pid="5" name="_EmailSubje">
    <vt:lpwstr>4Q12 revised documents</vt:lpwstr>
  </property>
  <property fmtid="{D5CDD505-2E9C-101B-9397-08002B2CF9AE}" pid="6" name="_AuthorEma">
    <vt:lpwstr>nicolas.kuepfer@credit-suisse.com</vt:lpwstr>
  </property>
  <property fmtid="{D5CDD505-2E9C-101B-9397-08002B2CF9AE}" pid="7" name="_AuthorEmailDisplayNa">
    <vt:lpwstr>Küpfer Nicolas (TIAA)</vt:lpwstr>
  </property>
  <property fmtid="{D5CDD505-2E9C-101B-9397-08002B2CF9AE}" pid="8" name="_SIProp12DataClass+1a737d0e-4fa0-4d15-b420-084e93a157">
    <vt:lpwstr>v=1.2&gt;I=1a737d0e-4fa0-4d15-b420-084e93a157b3&amp;N=Unprotected&amp;U=System&amp;V=1.2&amp;A=ASSOCIATED</vt:lpwstr>
  </property>
  <property fmtid="{D5CDD505-2E9C-101B-9397-08002B2CF9AE}" pid="9" name="Classificati">
    <vt:lpwstr>Unprotected</vt:lpwstr>
  </property>
</Properties>
</file>