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390" windowWidth="19410" windowHeight="4875" firstSheet="1" activeTab="1"/>
  </bookViews>
  <sheets>
    <sheet name="INPUT" sheetId="1" state="hidden" r:id="rId1"/>
    <sheet name="DATA" sheetId="2" r:id="rId2"/>
  </sheets>
  <externalReferences>
    <externalReference r:id="rId5"/>
  </externalReferences>
  <definedNames>
    <definedName name="_2__Check_that_the_price_target_range_is_OK">'INPUT'!$B$6</definedName>
    <definedName name="_tags1" localSheetId="1" hidden="1">"&lt;tags&gt;&lt;tag n=""Palette"" v=""-1"" /&gt;&lt;tag n=""ClosestPalette"" v=""3"" /&gt;&lt;/tags&gt;"</definedName>
    <definedName name="_tags1" localSheetId="0" hidden="1">"&lt;tags&gt;&lt;tag n=""Palette"" v=""-1"" /&gt;&lt;tag n=""ClosestPalette"" v=""3"" /&gt;&lt;/tags&gt;"</definedName>
    <definedName name="Backup">OFFSET('INPUT'!$C$18,0,0,COUNTA('INPUT'!$C$18:$C$109),1)</definedName>
    <definedName name="CS_CONS_INPUT_ARRAY">'DATA'!$A:$XFD</definedName>
    <definedName name="CS_CONS_INPUT_COLUMN">'DATA'!$C:$C</definedName>
    <definedName name="CS_CONS_INPUT_ROW">'DATA'!$1:$1</definedName>
    <definedName name="CS_CONS_LINK_ARRAY">'[1]LINK'!$A:$XFD</definedName>
    <definedName name="CS_CONS_LINK_COLUMN">'[1]LINK'!$K:$K</definedName>
    <definedName name="CS_CONS_LINK_ROW">'[1]LINK'!$1:$1</definedName>
    <definedName name="Divisions">OFFSET('INPUT'!$H$19,0,0,COUNTA('INPUT'!$B$19:$H$27),1)</definedName>
    <definedName name="Institution">OFFSET('INPUT'!$D$18,0,0,COUNTA('INPUT'!$D$18:$D$112),1)</definedName>
    <definedName name="NM">300</definedName>
    <definedName name="Primary">OFFSET('INPUT'!$B$19,0,0,COUNTA('INPUT'!$B$19:$B$109),1)</definedName>
    <definedName name="_xlnm.Print_Area" localSheetId="1">'DATA'!$A$29:$AB$481</definedName>
    <definedName name="_xlnm.Print_Titles" localSheetId="1">'DATA'!$2:$25</definedName>
    <definedName name="Rating">OFFSET('INPUT'!$E$18,0,0,COUNTA('INPUT'!$E$18:$E$21),1)</definedName>
    <definedName name="Target">OFFSET('INPUT'!$F$18,0,0,COUNTA('INPUT'!$F$18:$F$126),1)</definedName>
  </definedNames>
  <calcPr fullCalcOnLoad="1"/>
</workbook>
</file>

<file path=xl/sharedStrings.xml><?xml version="1.0" encoding="utf-8"?>
<sst xmlns="http://schemas.openxmlformats.org/spreadsheetml/2006/main" count="805" uniqueCount="302">
  <si>
    <t>Income statement (CHF million)</t>
  </si>
  <si>
    <t>Net revenues</t>
  </si>
  <si>
    <t>Debt underwriting</t>
  </si>
  <si>
    <t>Equity underwriting</t>
  </si>
  <si>
    <t>Advisory and other fees</t>
  </si>
  <si>
    <t>Provision for credit losses</t>
  </si>
  <si>
    <t>Compensation and benefits</t>
  </si>
  <si>
    <t>Total operating expenses</t>
  </si>
  <si>
    <t>Income from continuing operations before taxes</t>
  </si>
  <si>
    <t>Compensation ratio (%)</t>
  </si>
  <si>
    <t>Non-compensation ratio (%)</t>
  </si>
  <si>
    <t>Cost / income ratio (%)</t>
  </si>
  <si>
    <t>Pre-tax income margin (%)</t>
  </si>
  <si>
    <t>Assets under management (CHF billion)</t>
  </si>
  <si>
    <t>Net new assets</t>
  </si>
  <si>
    <t>Performance / other</t>
  </si>
  <si>
    <t>Average assets under management</t>
  </si>
  <si>
    <t>Net new asset growth (%)</t>
  </si>
  <si>
    <t>Performance / other growth (%)</t>
  </si>
  <si>
    <t>Gross margin (bp)</t>
  </si>
  <si>
    <t>Total asset growth (%)</t>
  </si>
  <si>
    <t>Credit Suisse</t>
  </si>
  <si>
    <t>Income from continuing operations</t>
  </si>
  <si>
    <t>Net income</t>
  </si>
  <si>
    <t>Net income margin (%)</t>
  </si>
  <si>
    <t>Positive Number</t>
  </si>
  <si>
    <t>Number</t>
  </si>
  <si>
    <t>ü</t>
  </si>
  <si>
    <t>Instructions</t>
  </si>
  <si>
    <t>Institution</t>
  </si>
  <si>
    <t>Backup Analyst</t>
  </si>
  <si>
    <t>Primary Analyst</t>
  </si>
  <si>
    <t>Jeremy Sigee</t>
  </si>
  <si>
    <t>Buy</t>
  </si>
  <si>
    <t>Primary Analysts</t>
  </si>
  <si>
    <t>Backup Analysts</t>
  </si>
  <si>
    <t>Kian Abouhossein</t>
  </si>
  <si>
    <t>Michael Dunst</t>
  </si>
  <si>
    <t>Kinner Lakhani</t>
  </si>
  <si>
    <t>Stefan Stalmann</t>
  </si>
  <si>
    <t>Andreas Venditti</t>
  </si>
  <si>
    <t>BZ Bank</t>
  </si>
  <si>
    <t>Exane BNP Paribas</t>
  </si>
  <si>
    <t>Hold</t>
  </si>
  <si>
    <t>Sell</t>
  </si>
  <si>
    <t>General</t>
  </si>
  <si>
    <r>
      <t>–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Not Available –</t>
    </r>
  </si>
  <si>
    <t>Price Target</t>
  </si>
  <si>
    <t>Rating</t>
  </si>
  <si>
    <t>Citigroup</t>
  </si>
  <si>
    <t>Commerzbank</t>
  </si>
  <si>
    <t>Deutsche Bank</t>
  </si>
  <si>
    <t>Goldman Sachs</t>
  </si>
  <si>
    <t>Helvea</t>
  </si>
  <si>
    <t>HSBC</t>
  </si>
  <si>
    <t>Keefe, Bruyette &amp; Woods</t>
  </si>
  <si>
    <t>Morgan Stanley</t>
  </si>
  <si>
    <t>UBS</t>
  </si>
  <si>
    <t>Vontobel</t>
  </si>
  <si>
    <t>•  Please select your name(s) and institution from the lists above.</t>
  </si>
  <si>
    <t>Zürcher Kantonalbank</t>
  </si>
  <si>
    <t>Data Validation</t>
  </si>
  <si>
    <t>Assets under management (beginning of period)</t>
  </si>
  <si>
    <t>Assets under management (end of period)</t>
  </si>
  <si>
    <t>Income from discontinued operations, net of tax</t>
  </si>
  <si>
    <t>Sum-of-the-parts valuation</t>
  </si>
  <si>
    <t>Sum-of-the-parts data provided?</t>
  </si>
  <si>
    <t>Sum-of-the-parts value (CHF million)</t>
  </si>
  <si>
    <t>Periods</t>
  </si>
  <si>
    <t>Data provided?</t>
  </si>
  <si>
    <t>Last Reported Quarter</t>
  </si>
  <si>
    <t>Thank you for contributing to the Credit Suisse Analyst Consensus. Please read the following instructions before emailing this file back to us:</t>
  </si>
  <si>
    <t>Q+1</t>
  </si>
  <si>
    <t>Y+1</t>
  </si>
  <si>
    <t>Y+2</t>
  </si>
  <si>
    <t>Y+3</t>
  </si>
  <si>
    <t>2) Check that the price target range is OK</t>
  </si>
  <si>
    <t>3) Check that the Last Reported Quarter is set correctly</t>
  </si>
  <si>
    <t>Credit Suisse Analyst Consensus: Input Sheet</t>
  </si>
  <si>
    <t>Our / your comments</t>
  </si>
  <si>
    <t>Click here to link to your model</t>
  </si>
  <si>
    <t>Income tax expense</t>
  </si>
  <si>
    <t>9) Protect the DATA sheet and workbook (Password: "Paradeplatz")</t>
  </si>
  <si>
    <t>10) Save the file again</t>
  </si>
  <si>
    <t>11) Host it on the website</t>
  </si>
  <si>
    <t>5) Save the file</t>
  </si>
  <si>
    <t>• Core Results</t>
  </si>
  <si>
    <t>6) Save the file under a new name with the current date in the Input Sheets - Hosted folder</t>
  </si>
  <si>
    <t>Andrew Coombs</t>
  </si>
  <si>
    <t>Redburn Partners</t>
  </si>
  <si>
    <t>Oddo &amp; Cie</t>
  </si>
  <si>
    <t>Jean Sassus</t>
  </si>
  <si>
    <t>Net income attributable to shareholders</t>
  </si>
  <si>
    <t>Additional line items</t>
  </si>
  <si>
    <t>Additional line items data provided?</t>
  </si>
  <si>
    <t>Dividend per share</t>
  </si>
  <si>
    <t>Less net income attributable to noncontrolling interests</t>
  </si>
  <si>
    <t>Jernej Omahen</t>
  </si>
  <si>
    <t>Net margin (bp)</t>
  </si>
  <si>
    <t>Autonomous</t>
  </si>
  <si>
    <t>Amit Ranjan</t>
  </si>
  <si>
    <t>4) Update the Actuals if needed for the last reported Quarter / 9M (hidden column!)/ Year in the Data Sheet</t>
  </si>
  <si>
    <t>8) Hide the row/column headers and the sheet tab on the DATA sheet (Tool/Options)</t>
  </si>
  <si>
    <t>7) Hide the INPUT sheet (Format/Sheet/Hide)</t>
  </si>
  <si>
    <t>•  Please ensure you are using the most UPDATED Input Sheet.</t>
  </si>
  <si>
    <t>1) Check that the analyst and institution lists are up to date and check in the sheet "data" that all names are included (to adjust insert/Name/define)</t>
  </si>
  <si>
    <t>Andrew Lim</t>
  </si>
  <si>
    <t>Piers Brown</t>
  </si>
  <si>
    <t>Mediobanca</t>
  </si>
  <si>
    <t>MainFirst</t>
  </si>
  <si>
    <t>RBC Capital Markets</t>
  </si>
  <si>
    <t>Barclays Capital</t>
  </si>
  <si>
    <t>Natixis</t>
  </si>
  <si>
    <t>•  Please remember to update the links (rollforward) for the new quarter/years when necessary.</t>
  </si>
  <si>
    <t>Macquarie Securities</t>
  </si>
  <si>
    <t>Santander</t>
  </si>
  <si>
    <t>Bank of America Merrill Lynch</t>
  </si>
  <si>
    <t>DZ Bank</t>
  </si>
  <si>
    <t>Mirabaud Securities</t>
  </si>
  <si>
    <t>Berenberg</t>
  </si>
  <si>
    <t>General – Price Target (CHF)</t>
  </si>
  <si>
    <t>Latest Published Price Target (CHF)</t>
  </si>
  <si>
    <t>Daniele Brupbacher</t>
  </si>
  <si>
    <t>Mate Nemes</t>
  </si>
  <si>
    <t>General – Rating</t>
  </si>
  <si>
    <t>Latest Published Rating</t>
  </si>
  <si>
    <t>Eoin Mullany</t>
  </si>
  <si>
    <t>Earnings per share</t>
  </si>
  <si>
    <t>Income statement related information shown in CHF million</t>
  </si>
  <si>
    <t>Available for common shares</t>
  </si>
  <si>
    <t>Available for unvested share-based payment awards</t>
  </si>
  <si>
    <t>Steven Gould</t>
  </si>
  <si>
    <t>•  Please enter a comment to any line item that may require further details/explanation.</t>
  </si>
  <si>
    <t>•  Link this sheet to the LINK sheet in your model by selecting Edit / Links / Change Source (the button in "Orange", upper far right).</t>
  </si>
  <si>
    <t>•  Please check that all fields are filled in correctly and spot check total calculations on this sheet match the forecasts in your model for each period.</t>
  </si>
  <si>
    <t>•  Please fill out the "additional line items" where required and figures for Strategic divisional pre-tax income (if already available).</t>
  </si>
  <si>
    <t>Other revenues</t>
  </si>
  <si>
    <t>Total other operating expenses</t>
  </si>
  <si>
    <t>Fixed income sales and trading</t>
  </si>
  <si>
    <t>Equity sales and trading</t>
  </si>
  <si>
    <t>Recurring commissions and fees</t>
  </si>
  <si>
    <t>Transaction and performance-based revenues</t>
  </si>
  <si>
    <t>Time Periods</t>
  </si>
  <si>
    <t>Adam Terelak</t>
  </si>
  <si>
    <t>Marco Di Matteo</t>
  </si>
  <si>
    <t>Andreas Brun</t>
  </si>
  <si>
    <t>• • Strategic Resolution Unit</t>
  </si>
  <si>
    <t>• • Corporate Center</t>
  </si>
  <si>
    <t>• • Global Markets</t>
  </si>
  <si>
    <t>• • Investment Banking &amp; Capital Markets</t>
  </si>
  <si>
    <t>Swiss Universal Bank</t>
  </si>
  <si>
    <t>International Wealth Management</t>
  </si>
  <si>
    <t>Asia Pacific</t>
  </si>
  <si>
    <t>Global Markets</t>
  </si>
  <si>
    <t>Investment Banking &amp; Capital Markets</t>
  </si>
  <si>
    <t>Corporate Center</t>
  </si>
  <si>
    <t>Strategic Resolution Unit</t>
  </si>
  <si>
    <t>• • Swiss Universal Bank - Total</t>
  </si>
  <si>
    <t>• • International Wealth Management - Total</t>
  </si>
  <si>
    <t>• • Asia Pacific - Total</t>
  </si>
  <si>
    <t>Capital and Leverage metrics</t>
  </si>
  <si>
    <t>Leverage exposure – look-through (CHF million)</t>
  </si>
  <si>
    <t>Risk-weighted assets – look-through (CHF million)</t>
  </si>
  <si>
    <t>CET1 ratio – look-through (%)</t>
  </si>
  <si>
    <t>CET1 leverage ratio – look-through (%)</t>
  </si>
  <si>
    <t>CET1 capital – look-through (CHF million)</t>
  </si>
  <si>
    <t>Tier 1 capital – look-through (CHF million)</t>
  </si>
  <si>
    <t>Tier 1 leverage ratio – look-through (%)</t>
  </si>
  <si>
    <t>Tier 1 ratio – look-through (%)</t>
  </si>
  <si>
    <t>Total shareholders' equity (CHF million)</t>
  </si>
  <si>
    <t>Share information</t>
  </si>
  <si>
    <t>Shares outstanding, end of period (million)</t>
  </si>
  <si>
    <t>Dilutive shares from contracts, share options, warrants and share awards</t>
  </si>
  <si>
    <t>Net income/(loss) attributable to shareholders</t>
  </si>
  <si>
    <t>Diluted earnings/(loss) per share available for common shares</t>
  </si>
  <si>
    <t>Weighted-average shares outstanding: basic EPS available for common shares</t>
  </si>
  <si>
    <t>Weighted-average shares outstanding: diluted EPS available for common shares</t>
  </si>
  <si>
    <t>Weighted-average shares outstanding: basic/diluted EPS available for unvested share-based payment awards</t>
  </si>
  <si>
    <t>• • • International Wealth Management - Private Banking</t>
  </si>
  <si>
    <t>• • • International Wealth Management - Asset Management</t>
  </si>
  <si>
    <t>Total weighted-average shares outstanding: diluted EPS</t>
  </si>
  <si>
    <t>Division</t>
  </si>
  <si>
    <t>Description of "one-off"</t>
  </si>
  <si>
    <t>Divisions</t>
  </si>
  <si>
    <t>IWM - PB</t>
  </si>
  <si>
    <t>IWM - AM</t>
  </si>
  <si>
    <t>IBCM</t>
  </si>
  <si>
    <t>CC</t>
  </si>
  <si>
    <t>SRU</t>
  </si>
  <si>
    <t>Division Alias</t>
  </si>
  <si>
    <t>IWMPB</t>
  </si>
  <si>
    <t>IWMAM</t>
  </si>
  <si>
    <t>GM</t>
  </si>
  <si>
    <t>Net revenues from noncontrolling interests without SEI</t>
  </si>
  <si>
    <t>Net interest income</t>
  </si>
  <si>
    <t>Other</t>
  </si>
  <si>
    <t>Total underwriting</t>
  </si>
  <si>
    <t>Total underwriting and advisory</t>
  </si>
  <si>
    <t>Tom Hallett</t>
  </si>
  <si>
    <t>George Karamanos</t>
  </si>
  <si>
    <t>Vardhman Jain</t>
  </si>
  <si>
    <t>SUB CIC TOTAL</t>
  </si>
  <si>
    <t>IWM TOTAL</t>
  </si>
  <si>
    <t>IWM PB TOTAL</t>
  </si>
  <si>
    <t>IWM AM TOTAL</t>
  </si>
  <si>
    <t>APAC TOTAL</t>
  </si>
  <si>
    <t>APAC PB TOTAL</t>
  </si>
  <si>
    <t>APAC IB TOTAL</t>
  </si>
  <si>
    <t>Revenue details add up</t>
  </si>
  <si>
    <t>Comp / NC add up</t>
  </si>
  <si>
    <t>PTI adds up</t>
  </si>
  <si>
    <t>Trading details add up</t>
  </si>
  <si>
    <t>IBCM TOTAL</t>
  </si>
  <si>
    <t>Underwriting details add up</t>
  </si>
  <si>
    <t>Underwriting &amp; M&amp;A details add up</t>
  </si>
  <si>
    <t>GM TOTAL</t>
  </si>
  <si>
    <t>CC TOTAL</t>
  </si>
  <si>
    <t>CORE TOTAL</t>
  </si>
  <si>
    <t>SRU TOTAL</t>
  </si>
  <si>
    <t>CREDIT SUISSE TOTAL</t>
  </si>
  <si>
    <t>IWMTOTAL</t>
  </si>
  <si>
    <t>APACTOTAL</t>
  </si>
  <si>
    <t>APAC</t>
  </si>
  <si>
    <t>IWM</t>
  </si>
  <si>
    <t>SUB</t>
  </si>
  <si>
    <t>1Q16</t>
  </si>
  <si>
    <t>Management fees</t>
  </si>
  <si>
    <t>Performance and placement revenues</t>
  </si>
  <si>
    <t>Investment and partnership income</t>
  </si>
  <si>
    <t>Real Estate gains &amp; gains on business sales</t>
  </si>
  <si>
    <t>Tangible shareholders' equity (CHF million)</t>
  </si>
  <si>
    <t>Restructuring IWM</t>
  </si>
  <si>
    <t>Restructuring APAC</t>
  </si>
  <si>
    <t>Restructuring GM</t>
  </si>
  <si>
    <t>Restructuring IBCM</t>
  </si>
  <si>
    <t>Restructuring SRU</t>
  </si>
  <si>
    <t>Litigation IWM</t>
  </si>
  <si>
    <t>Litigation APAC</t>
  </si>
  <si>
    <t>Litigation GM</t>
  </si>
  <si>
    <t>Litigation IBCM</t>
  </si>
  <si>
    <t>Litigation SRU</t>
  </si>
  <si>
    <t>Fan Yang</t>
  </si>
  <si>
    <t>Daniel Regli</t>
  </si>
  <si>
    <t>Panagiotis Koffas</t>
  </si>
  <si>
    <t>Giulia Aurora Miotto</t>
  </si>
  <si>
    <t>Nicholas Watts</t>
  </si>
  <si>
    <t>Patrick Lee</t>
  </si>
  <si>
    <t>Magdalena Stoklosa</t>
  </si>
  <si>
    <t>Alexander Medhurst</t>
  </si>
  <si>
    <t>Amandeep Singh</t>
  </si>
  <si>
    <t>Peter Rebsamen</t>
  </si>
  <si>
    <t>Sujal Kumar</t>
  </si>
  <si>
    <t>1Q17</t>
  </si>
  <si>
    <t>SUBTOTAL</t>
  </si>
  <si>
    <t>Restructuring SUB</t>
  </si>
  <si>
    <t>Litigation SUB</t>
  </si>
  <si>
    <t>SUBPC</t>
  </si>
  <si>
    <t>SUBCIC</t>
  </si>
  <si>
    <t>SUB - PC</t>
  </si>
  <si>
    <t>SUB - CIC</t>
  </si>
  <si>
    <t>APACWMC</t>
  </si>
  <si>
    <t>APACM</t>
  </si>
  <si>
    <t>APAC - WMC</t>
  </si>
  <si>
    <t>APAC - M</t>
  </si>
  <si>
    <t>• • • Swiss Universal Bank - Private Clients</t>
  </si>
  <si>
    <t>• • • Swiss Universal Bank - Corporate &amp; Institutional Clients</t>
  </si>
  <si>
    <t>• • • Asia Pacific - Markets</t>
  </si>
  <si>
    <t>• • • Asia Pacific - Wealth Management and Connected</t>
  </si>
  <si>
    <t>Private Banking</t>
  </si>
  <si>
    <t>Advisory, underwriting and financing</t>
  </si>
  <si>
    <t>Javier Lodeiro</t>
  </si>
  <si>
    <t>2Q17</t>
  </si>
  <si>
    <t>Restructuring CC</t>
  </si>
  <si>
    <t>Angeliki Bairaktari</t>
  </si>
  <si>
    <t>Andy Stimpson</t>
  </si>
  <si>
    <t>Nicolas Herman</t>
  </si>
  <si>
    <t>Christoph Blieffert</t>
  </si>
  <si>
    <t>Matthias Duerr</t>
  </si>
  <si>
    <t>Alevizos Alevizakos</t>
  </si>
  <si>
    <t>Guido Hoymann</t>
  </si>
  <si>
    <t>Mazika Li</t>
  </si>
  <si>
    <t>Anubhav Srivastava</t>
  </si>
  <si>
    <t>JP Morgan</t>
  </si>
  <si>
    <t>Kepler Cheuvreux</t>
  </si>
  <si>
    <t>Tax rate (%)</t>
  </si>
  <si>
    <t>3Q17</t>
  </si>
  <si>
    <t>Anke Reingen</t>
  </si>
  <si>
    <t>4Q17</t>
  </si>
  <si>
    <t>Underwriting</t>
  </si>
  <si>
    <t>Florent Laroche-Joubert</t>
  </si>
  <si>
    <t>Alex Kogane</t>
  </si>
  <si>
    <t>Jacques-Henri Gaulard</t>
  </si>
  <si>
    <t>Amit Goel</t>
  </si>
  <si>
    <t>Tomasz Grzelak</t>
  </si>
  <si>
    <t>Metzler</t>
  </si>
  <si>
    <t>Societe Generale</t>
  </si>
  <si>
    <t>1Q18</t>
  </si>
  <si>
    <t>Expenses related to business sale</t>
  </si>
  <si>
    <t>Litigation CC</t>
  </si>
  <si>
    <t>Betty Sanchez Torres</t>
  </si>
  <si>
    <t>Nicholas Payen</t>
  </si>
  <si>
    <t>2Q18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</si>
</sst>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;@_)"/>
    <numFmt numFmtId="181" formatCode="#,##0.0_);\(#,##0.0\);@_)"/>
    <numFmt numFmtId="182" formatCode="#,##0.00_);\(#,##0.00\);@_)"/>
    <numFmt numFmtId="183" formatCode="#,##0.0_);\(#,##0.0\)"/>
    <numFmt numFmtId="184" formatCode="0.0"/>
    <numFmt numFmtId="185" formatCode="#,##0;\(#,##0\);@"/>
    <numFmt numFmtId="186" formatCode="#,##0.0;\(#,##0.0\);@"/>
    <numFmt numFmtId="187" formatCode="#,##0.00;\(#,##0.00\);@"/>
    <numFmt numFmtId="188" formatCode="_(* #,##0.0_);_(* \(#,##0.0\);_(* &quot;-&quot;??_);_(@_)"/>
    <numFmt numFmtId="189" formatCode="0.0%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"/>
    <numFmt numFmtId="196" formatCode="#,##0.000_);\(#,##0.000\);@_)"/>
    <numFmt numFmtId="197" formatCode="#,##0.00000000000000"/>
    <numFmt numFmtId="198" formatCode="#,##0.0000000000000"/>
    <numFmt numFmtId="199" formatCode="#,##0.000000000000"/>
    <numFmt numFmtId="200" formatCode="#,##0.00000000000"/>
    <numFmt numFmtId="201" formatCode="#,##0.0000000000"/>
    <numFmt numFmtId="202" formatCode="#,##0.000000000"/>
    <numFmt numFmtId="203" formatCode="#,##0.00000000"/>
    <numFmt numFmtId="204" formatCode="#,##0.0000000"/>
    <numFmt numFmtId="205" formatCode="#,##0.000000"/>
    <numFmt numFmtId="206" formatCode="#,##0.00000"/>
    <numFmt numFmtId="207" formatCode="#,##0.0000"/>
    <numFmt numFmtId="208" formatCode="#,##0.000"/>
    <numFmt numFmtId="209" formatCode="#,##0;\(#,##0\);0"/>
    <numFmt numFmtId="210" formatCode="#,##0.0;\(#,##0.0\);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Monotype Sorts"/>
      <family val="0"/>
    </font>
    <font>
      <sz val="10"/>
      <color indexed="23"/>
      <name val="Arial"/>
      <family val="2"/>
    </font>
    <font>
      <sz val="10"/>
      <name val="Courier"/>
      <family val="3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2499700039625167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/>
      <right/>
      <top style="thin">
        <color indexed="9"/>
      </top>
      <bottom/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 style="thin">
        <color indexed="9"/>
      </bottom>
    </border>
    <border>
      <left/>
      <right/>
      <top/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theme="0"/>
      </bottom>
    </border>
  </borders>
  <cellStyleXfs count="78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 horizontal="left"/>
    </xf>
    <xf numFmtId="180" fontId="6" fillId="34" borderId="13" xfId="0" applyNumberFormat="1" applyFont="1" applyFill="1" applyBorder="1" applyAlignment="1">
      <alignment horizontal="right"/>
    </xf>
    <xf numFmtId="0" fontId="6" fillId="35" borderId="14" xfId="0" applyNumberFormat="1" applyFont="1" applyFill="1" applyBorder="1" applyAlignment="1">
      <alignment/>
    </xf>
    <xf numFmtId="0" fontId="6" fillId="35" borderId="15" xfId="0" applyNumberFormat="1" applyFont="1" applyFill="1" applyBorder="1" applyAlignment="1">
      <alignment/>
    </xf>
    <xf numFmtId="180" fontId="6" fillId="35" borderId="15" xfId="0" applyNumberFormat="1" applyFont="1" applyFill="1" applyBorder="1" applyAlignment="1">
      <alignment horizontal="right"/>
    </xf>
    <xf numFmtId="180" fontId="0" fillId="34" borderId="16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180" fontId="6" fillId="34" borderId="16" xfId="0" applyNumberFormat="1" applyFont="1" applyFill="1" applyBorder="1" applyAlignment="1">
      <alignment horizontal="right"/>
    </xf>
    <xf numFmtId="181" fontId="0" fillId="34" borderId="16" xfId="0" applyNumberFormat="1" applyFont="1" applyFill="1" applyBorder="1" applyAlignment="1">
      <alignment horizontal="right"/>
    </xf>
    <xf numFmtId="181" fontId="6" fillId="34" borderId="16" xfId="0" applyNumberFormat="1" applyFont="1" applyFill="1" applyBorder="1" applyAlignment="1">
      <alignment horizontal="right"/>
    </xf>
    <xf numFmtId="0" fontId="3" fillId="36" borderId="11" xfId="0" applyNumberFormat="1" applyFont="1" applyFill="1" applyBorder="1" applyAlignment="1">
      <alignment horizontal="left" vertical="center"/>
    </xf>
    <xf numFmtId="0" fontId="0" fillId="36" borderId="15" xfId="0" applyNumberFormat="1" applyFont="1" applyFill="1" applyBorder="1" applyAlignment="1">
      <alignment/>
    </xf>
    <xf numFmtId="181" fontId="0" fillId="34" borderId="13" xfId="0" applyNumberFormat="1" applyFont="1" applyFill="1" applyBorder="1" applyAlignment="1">
      <alignment horizontal="right"/>
    </xf>
    <xf numFmtId="181" fontId="7" fillId="34" borderId="13" xfId="0" applyNumberFormat="1" applyFont="1" applyFill="1" applyBorder="1" applyAlignment="1">
      <alignment horizontal="right"/>
    </xf>
    <xf numFmtId="181" fontId="6" fillId="34" borderId="17" xfId="0" applyNumberFormat="1" applyFont="1" applyFill="1" applyBorder="1" applyAlignment="1">
      <alignment horizontal="right"/>
    </xf>
    <xf numFmtId="0" fontId="0" fillId="37" borderId="12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3" fillId="38" borderId="11" xfId="0" applyNumberFormat="1" applyFont="1" applyFill="1" applyBorder="1" applyAlignment="1">
      <alignment horizontal="left" vertical="center"/>
    </xf>
    <xf numFmtId="0" fontId="0" fillId="38" borderId="15" xfId="0" applyNumberFormat="1" applyFont="1" applyFill="1" applyBorder="1" applyAlignment="1">
      <alignment/>
    </xf>
    <xf numFmtId="0" fontId="3" fillId="38" borderId="0" xfId="0" applyNumberFormat="1" applyFont="1" applyFill="1" applyBorder="1" applyAlignment="1" quotePrefix="1">
      <alignment/>
    </xf>
    <xf numFmtId="0" fontId="4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180" fontId="7" fillId="33" borderId="18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6" fillId="33" borderId="18" xfId="0" applyNumberFormat="1" applyFont="1" applyFill="1" applyBorder="1" applyAlignment="1">
      <alignment horizontal="right"/>
    </xf>
    <xf numFmtId="181" fontId="0" fillId="33" borderId="18" xfId="0" applyNumberFormat="1" applyFont="1" applyFill="1" applyBorder="1" applyAlignment="1">
      <alignment horizontal="right"/>
    </xf>
    <xf numFmtId="181" fontId="6" fillId="33" borderId="18" xfId="0" applyNumberFormat="1" applyFont="1" applyFill="1" applyBorder="1" applyAlignment="1">
      <alignment horizontal="right"/>
    </xf>
    <xf numFmtId="181" fontId="7" fillId="33" borderId="18" xfId="0" applyNumberFormat="1" applyFont="1" applyFill="1" applyBorder="1" applyAlignment="1">
      <alignment horizontal="right"/>
    </xf>
    <xf numFmtId="181" fontId="5" fillId="33" borderId="18" xfId="0" applyNumberFormat="1" applyFont="1" applyFill="1" applyBorder="1" applyAlignment="1">
      <alignment horizontal="right"/>
    </xf>
    <xf numFmtId="180" fontId="6" fillId="35" borderId="19" xfId="0" applyNumberFormat="1" applyFont="1" applyFill="1" applyBorder="1" applyAlignment="1">
      <alignment horizontal="right"/>
    </xf>
    <xf numFmtId="0" fontId="6" fillId="35" borderId="19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 horizontal="center"/>
    </xf>
    <xf numFmtId="0" fontId="3" fillId="39" borderId="13" xfId="0" applyNumberFormat="1" applyFont="1" applyFill="1" applyBorder="1" applyAlignment="1">
      <alignment horizontal="center"/>
    </xf>
    <xf numFmtId="0" fontId="7" fillId="34" borderId="13" xfId="0" applyNumberFormat="1" applyFont="1" applyFill="1" applyBorder="1" applyAlignment="1">
      <alignment horizontal="center"/>
    </xf>
    <xf numFmtId="0" fontId="6" fillId="34" borderId="19" xfId="0" applyNumberFormat="1" applyFont="1" applyFill="1" applyBorder="1" applyAlignment="1">
      <alignment horizontal="center"/>
    </xf>
    <xf numFmtId="181" fontId="5" fillId="33" borderId="16" xfId="0" applyNumberFormat="1" applyFont="1" applyFill="1" applyBorder="1" applyAlignment="1">
      <alignment horizontal="right"/>
    </xf>
    <xf numFmtId="181" fontId="5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4" borderId="0" xfId="0" applyFill="1" applyAlignment="1">
      <alignment/>
    </xf>
    <xf numFmtId="180" fontId="0" fillId="34" borderId="13" xfId="0" applyNumberFormat="1" applyFont="1" applyFill="1" applyBorder="1" applyAlignment="1" applyProtection="1">
      <alignment horizontal="left"/>
      <protection locked="0"/>
    </xf>
    <xf numFmtId="180" fontId="6" fillId="34" borderId="13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40" borderId="0" xfId="0" applyFill="1" applyAlignment="1">
      <alignment/>
    </xf>
    <xf numFmtId="0" fontId="3" fillId="40" borderId="0" xfId="0" applyNumberFormat="1" applyFont="1" applyFill="1" applyBorder="1" applyAlignment="1">
      <alignment horizontal="center" vertical="center" wrapText="1"/>
    </xf>
    <xf numFmtId="0" fontId="9" fillId="40" borderId="11" xfId="0" applyFont="1" applyFill="1" applyBorder="1" applyAlignment="1">
      <alignment vertical="center"/>
    </xf>
    <xf numFmtId="0" fontId="3" fillId="40" borderId="0" xfId="0" applyNumberFormat="1" applyFont="1" applyFill="1" applyBorder="1" applyAlignment="1">
      <alignment horizontal="left" vertical="center" wrapText="1"/>
    </xf>
    <xf numFmtId="0" fontId="0" fillId="40" borderId="0" xfId="0" applyFill="1" applyBorder="1" applyAlignment="1">
      <alignment/>
    </xf>
    <xf numFmtId="0" fontId="9" fillId="40" borderId="0" xfId="0" applyFont="1" applyFill="1" applyBorder="1" applyAlignment="1">
      <alignment vertical="center"/>
    </xf>
    <xf numFmtId="180" fontId="6" fillId="34" borderId="14" xfId="0" applyNumberFormat="1" applyFont="1" applyFill="1" applyBorder="1" applyAlignment="1">
      <alignment horizontal="right"/>
    </xf>
    <xf numFmtId="180" fontId="6" fillId="34" borderId="20" xfId="0" applyNumberFormat="1" applyFont="1" applyFill="1" applyBorder="1" applyAlignment="1">
      <alignment horizontal="right"/>
    </xf>
    <xf numFmtId="180" fontId="0" fillId="34" borderId="20" xfId="0" applyNumberFormat="1" applyFont="1" applyFill="1" applyBorder="1" applyAlignment="1">
      <alignment horizontal="right"/>
    </xf>
    <xf numFmtId="0" fontId="3" fillId="39" borderId="14" xfId="0" applyNumberFormat="1" applyFont="1" applyFill="1" applyBorder="1" applyAlignment="1">
      <alignment horizontal="center"/>
    </xf>
    <xf numFmtId="181" fontId="0" fillId="34" borderId="20" xfId="0" applyNumberFormat="1" applyFont="1" applyFill="1" applyBorder="1" applyAlignment="1">
      <alignment horizontal="right"/>
    </xf>
    <xf numFmtId="181" fontId="6" fillId="34" borderId="20" xfId="0" applyNumberFormat="1" applyFont="1" applyFill="1" applyBorder="1" applyAlignment="1">
      <alignment horizontal="right"/>
    </xf>
    <xf numFmtId="181" fontId="7" fillId="34" borderId="14" xfId="0" applyNumberFormat="1" applyFont="1" applyFill="1" applyBorder="1" applyAlignment="1">
      <alignment horizontal="right"/>
    </xf>
    <xf numFmtId="181" fontId="0" fillId="34" borderId="14" xfId="0" applyNumberFormat="1" applyFont="1" applyFill="1" applyBorder="1" applyAlignment="1">
      <alignment horizontal="right"/>
    </xf>
    <xf numFmtId="181" fontId="6" fillId="34" borderId="21" xfId="0" applyNumberFormat="1" applyFont="1" applyFill="1" applyBorder="1" applyAlignment="1">
      <alignment horizontal="right"/>
    </xf>
    <xf numFmtId="0" fontId="6" fillId="34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40" borderId="21" xfId="0" applyFont="1" applyFill="1" applyBorder="1" applyAlignment="1">
      <alignment/>
    </xf>
    <xf numFmtId="0" fontId="3" fillId="40" borderId="11" xfId="0" applyNumberFormat="1" applyFont="1" applyFill="1" applyBorder="1" applyAlignment="1">
      <alignment horizontal="left" vertical="center"/>
    </xf>
    <xf numFmtId="0" fontId="3" fillId="40" borderId="15" xfId="0" applyNumberFormat="1" applyFont="1" applyFill="1" applyBorder="1" applyAlignment="1">
      <alignment horizontal="left" vertical="center"/>
    </xf>
    <xf numFmtId="0" fontId="0" fillId="40" borderId="15" xfId="0" applyNumberFormat="1" applyFont="1" applyFill="1" applyBorder="1" applyAlignment="1">
      <alignment/>
    </xf>
    <xf numFmtId="0" fontId="0" fillId="40" borderId="22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2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4" borderId="14" xfId="0" applyNumberFormat="1" applyFont="1" applyFill="1" applyBorder="1" applyAlignment="1">
      <alignment horizontal="left"/>
    </xf>
    <xf numFmtId="0" fontId="0" fillId="34" borderId="14" xfId="0" applyNumberFormat="1" applyFont="1" applyFill="1" applyBorder="1" applyAlignment="1">
      <alignment horizontal="left"/>
    </xf>
    <xf numFmtId="0" fontId="6" fillId="34" borderId="14" xfId="0" applyNumberFormat="1" applyFont="1" applyFill="1" applyBorder="1" applyAlignment="1">
      <alignment/>
    </xf>
    <xf numFmtId="0" fontId="0" fillId="34" borderId="21" xfId="0" applyNumberFormat="1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/>
    </xf>
    <xf numFmtId="0" fontId="6" fillId="34" borderId="21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 horizontal="left" indent="1"/>
    </xf>
    <xf numFmtId="0" fontId="0" fillId="34" borderId="14" xfId="0" applyNumberFormat="1" applyFont="1" applyFill="1" applyBorder="1" applyAlignment="1">
      <alignment/>
    </xf>
    <xf numFmtId="0" fontId="6" fillId="34" borderId="19" xfId="0" applyNumberFormat="1" applyFon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left"/>
    </xf>
    <xf numFmtId="0" fontId="6" fillId="34" borderId="19" xfId="0" applyNumberFormat="1" applyFont="1" applyFill="1" applyBorder="1" applyAlignment="1">
      <alignment/>
    </xf>
    <xf numFmtId="0" fontId="0" fillId="34" borderId="22" xfId="0" applyNumberFormat="1" applyFont="1" applyFill="1" applyBorder="1" applyAlignment="1">
      <alignment horizontal="left"/>
    </xf>
    <xf numFmtId="0" fontId="0" fillId="34" borderId="22" xfId="0" applyNumberFormat="1" applyFont="1" applyFill="1" applyBorder="1" applyAlignment="1">
      <alignment/>
    </xf>
    <xf numFmtId="0" fontId="6" fillId="34" borderId="22" xfId="0" applyNumberFormat="1" applyFont="1" applyFill="1" applyBorder="1" applyAlignment="1">
      <alignment/>
    </xf>
    <xf numFmtId="0" fontId="0" fillId="34" borderId="19" xfId="0" applyNumberFormat="1" applyFont="1" applyFill="1" applyBorder="1" applyAlignment="1">
      <alignment horizontal="left" indent="2"/>
    </xf>
    <xf numFmtId="0" fontId="0" fillId="34" borderId="19" xfId="0" applyNumberFormat="1" applyFont="1" applyFill="1" applyBorder="1" applyAlignment="1">
      <alignment horizontal="left" indent="1"/>
    </xf>
    <xf numFmtId="0" fontId="0" fillId="34" borderId="19" xfId="0" applyNumberFormat="1" applyFont="1" applyFill="1" applyBorder="1" applyAlignment="1">
      <alignment/>
    </xf>
    <xf numFmtId="0" fontId="3" fillId="39" borderId="13" xfId="0" applyFont="1" applyFill="1" applyBorder="1" applyAlignment="1" applyProtection="1">
      <alignment horizontal="center" vertical="center" wrapText="1"/>
      <protection locked="0"/>
    </xf>
    <xf numFmtId="0" fontId="3" fillId="37" borderId="13" xfId="0" applyNumberFormat="1" applyFont="1" applyFill="1" applyBorder="1" applyAlignment="1">
      <alignment horizontal="center" vertical="center" wrapText="1"/>
    </xf>
    <xf numFmtId="0" fontId="3" fillId="41" borderId="19" xfId="0" applyNumberFormat="1" applyFont="1" applyFill="1" applyBorder="1" applyAlignment="1">
      <alignment horizontal="center"/>
    </xf>
    <xf numFmtId="0" fontId="3" fillId="40" borderId="13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4" borderId="13" xfId="0" applyNumberFormat="1" applyFill="1" applyBorder="1" applyAlignment="1">
      <alignment horizontal="left"/>
    </xf>
    <xf numFmtId="0" fontId="0" fillId="34" borderId="13" xfId="0" applyNumberFormat="1" applyFill="1" applyBorder="1" applyAlignment="1">
      <alignment horizontal="center"/>
    </xf>
    <xf numFmtId="0" fontId="3" fillId="41" borderId="13" xfId="0" applyNumberFormat="1" applyFont="1" applyFill="1" applyBorder="1" applyAlignment="1">
      <alignment horizontal="center"/>
    </xf>
    <xf numFmtId="0" fontId="0" fillId="36" borderId="12" xfId="0" applyNumberFormat="1" applyFont="1" applyFill="1" applyBorder="1" applyAlignment="1">
      <alignment/>
    </xf>
    <xf numFmtId="0" fontId="3" fillId="37" borderId="12" xfId="0" applyNumberFormat="1" applyFont="1" applyFill="1" applyBorder="1" applyAlignment="1" quotePrefix="1">
      <alignment/>
    </xf>
    <xf numFmtId="0" fontId="6" fillId="33" borderId="11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3" fillId="40" borderId="15" xfId="0" applyNumberFormat="1" applyFont="1" applyFill="1" applyBorder="1" applyAlignment="1" quotePrefix="1">
      <alignment/>
    </xf>
    <xf numFmtId="0" fontId="0" fillId="40" borderId="24" xfId="0" applyFont="1" applyFill="1" applyBorder="1" applyAlignment="1">
      <alignment/>
    </xf>
    <xf numFmtId="0" fontId="3" fillId="40" borderId="0" xfId="0" applyNumberFormat="1" applyFont="1" applyFill="1" applyBorder="1" applyAlignment="1" quotePrefix="1">
      <alignment/>
    </xf>
    <xf numFmtId="0" fontId="0" fillId="33" borderId="10" xfId="0" applyFont="1" applyFill="1" applyBorder="1" applyAlignment="1">
      <alignment vertical="center"/>
    </xf>
    <xf numFmtId="0" fontId="0" fillId="40" borderId="18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0" fillId="40" borderId="10" xfId="0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0" fillId="40" borderId="20" xfId="0" applyFont="1" applyFill="1" applyBorder="1" applyAlignment="1">
      <alignment vertical="center"/>
    </xf>
    <xf numFmtId="0" fontId="3" fillId="40" borderId="15" xfId="0" applyNumberFormat="1" applyFont="1" applyFill="1" applyBorder="1" applyAlignment="1" quotePrefix="1">
      <alignment vertical="center"/>
    </xf>
    <xf numFmtId="0" fontId="0" fillId="33" borderId="18" xfId="0" applyNumberFormat="1" applyFont="1" applyFill="1" applyBorder="1" applyAlignment="1">
      <alignment/>
    </xf>
    <xf numFmtId="0" fontId="0" fillId="33" borderId="23" xfId="0" applyNumberFormat="1" applyFont="1" applyFill="1" applyBorder="1" applyAlignment="1">
      <alignment/>
    </xf>
    <xf numFmtId="0" fontId="6" fillId="40" borderId="11" xfId="0" applyNumberFormat="1" applyFont="1" applyFill="1" applyBorder="1" applyAlignment="1">
      <alignment horizontal="left" vertical="center"/>
    </xf>
    <xf numFmtId="0" fontId="6" fillId="40" borderId="15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/>
    </xf>
    <xf numFmtId="0" fontId="3" fillId="39" borderId="13" xfId="0" applyNumberFormat="1" applyFont="1" applyFill="1" applyBorder="1" applyAlignment="1">
      <alignment horizontal="center" vertical="center"/>
    </xf>
    <xf numFmtId="0" fontId="3" fillId="40" borderId="13" xfId="0" applyNumberFormat="1" applyFont="1" applyFill="1" applyBorder="1" applyAlignment="1">
      <alignment horizontal="center" vertical="center"/>
    </xf>
    <xf numFmtId="0" fontId="3" fillId="40" borderId="14" xfId="0" applyNumberFormat="1" applyFont="1" applyFill="1" applyBorder="1" applyAlignment="1">
      <alignment horizontal="center" vertical="center"/>
    </xf>
    <xf numFmtId="0" fontId="0" fillId="40" borderId="20" xfId="0" applyFont="1" applyFill="1" applyBorder="1" applyAlignment="1">
      <alignment/>
    </xf>
    <xf numFmtId="0" fontId="0" fillId="34" borderId="11" xfId="0" applyNumberFormat="1" applyFont="1" applyFill="1" applyBorder="1" applyAlignment="1">
      <alignment horizontal="left"/>
    </xf>
    <xf numFmtId="0" fontId="0" fillId="34" borderId="23" xfId="0" applyNumberFormat="1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left"/>
    </xf>
    <xf numFmtId="0" fontId="0" fillId="34" borderId="12" xfId="0" applyNumberFormat="1" applyFont="1" applyFill="1" applyBorder="1" applyAlignment="1">
      <alignment horizontal="left"/>
    </xf>
    <xf numFmtId="0" fontId="0" fillId="34" borderId="24" xfId="0" applyNumberFormat="1" applyFont="1" applyFill="1" applyBorder="1" applyAlignment="1">
      <alignment horizontal="left"/>
    </xf>
    <xf numFmtId="0" fontId="3" fillId="39" borderId="13" xfId="0" applyNumberFormat="1" applyFont="1" applyFill="1" applyBorder="1" applyAlignment="1" applyProtection="1">
      <alignment horizontal="center" vertical="center"/>
      <protection/>
    </xf>
    <xf numFmtId="0" fontId="0" fillId="40" borderId="15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6" fillId="33" borderId="11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/>
      <protection/>
    </xf>
    <xf numFmtId="180" fontId="8" fillId="39" borderId="13" xfId="0" applyNumberFormat="1" applyFont="1" applyFill="1" applyBorder="1" applyAlignment="1" applyProtection="1">
      <alignment horizontal="right"/>
      <protection/>
    </xf>
    <xf numFmtId="181" fontId="5" fillId="33" borderId="18" xfId="0" applyNumberFormat="1" applyFont="1" applyFill="1" applyBorder="1" applyAlignment="1" applyProtection="1">
      <alignment horizontal="right"/>
      <protection/>
    </xf>
    <xf numFmtId="180" fontId="0" fillId="34" borderId="19" xfId="0" applyNumberFormat="1" applyFont="1" applyFill="1" applyBorder="1" applyAlignment="1" applyProtection="1">
      <alignment horizontal="right"/>
      <protection/>
    </xf>
    <xf numFmtId="180" fontId="0" fillId="34" borderId="16" xfId="0" applyNumberFormat="1" applyFont="1" applyFill="1" applyBorder="1" applyAlignment="1" applyProtection="1">
      <alignment horizontal="right"/>
      <protection/>
    </xf>
    <xf numFmtId="180" fontId="6" fillId="34" borderId="13" xfId="0" applyNumberFormat="1" applyFont="1" applyFill="1" applyBorder="1" applyAlignment="1" applyProtection="1">
      <alignment horizontal="right"/>
      <protection/>
    </xf>
    <xf numFmtId="180" fontId="6" fillId="34" borderId="16" xfId="0" applyNumberFormat="1" applyFont="1" applyFill="1" applyBorder="1" applyAlignment="1" applyProtection="1">
      <alignment horizontal="right"/>
      <protection/>
    </xf>
    <xf numFmtId="180" fontId="3" fillId="39" borderId="13" xfId="0" applyNumberFormat="1" applyFont="1" applyFill="1" applyBorder="1" applyAlignment="1" applyProtection="1">
      <alignment horizontal="right"/>
      <protection/>
    </xf>
    <xf numFmtId="180" fontId="6" fillId="34" borderId="19" xfId="0" applyNumberFormat="1" applyFont="1" applyFill="1" applyBorder="1" applyAlignment="1" applyProtection="1">
      <alignment horizontal="right"/>
      <protection/>
    </xf>
    <xf numFmtId="180" fontId="6" fillId="35" borderId="15" xfId="0" applyNumberFormat="1" applyFont="1" applyFill="1" applyBorder="1" applyAlignment="1" applyProtection="1">
      <alignment horizontal="right"/>
      <protection/>
    </xf>
    <xf numFmtId="181" fontId="0" fillId="34" borderId="16" xfId="0" applyNumberFormat="1" applyFont="1" applyFill="1" applyBorder="1" applyAlignment="1" applyProtection="1">
      <alignment horizontal="right"/>
      <protection/>
    </xf>
    <xf numFmtId="181" fontId="6" fillId="34" borderId="16" xfId="0" applyNumberFormat="1" applyFont="1" applyFill="1" applyBorder="1" applyAlignment="1" applyProtection="1">
      <alignment horizontal="right"/>
      <protection/>
    </xf>
    <xf numFmtId="181" fontId="5" fillId="33" borderId="16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6" fillId="33" borderId="18" xfId="0" applyNumberFormat="1" applyFont="1" applyFill="1" applyBorder="1" applyAlignment="1" applyProtection="1">
      <alignment horizontal="right"/>
      <protection/>
    </xf>
    <xf numFmtId="180" fontId="6" fillId="35" borderId="19" xfId="0" applyNumberFormat="1" applyFont="1" applyFill="1" applyBorder="1" applyAlignment="1" applyProtection="1">
      <alignment horizontal="right"/>
      <protection/>
    </xf>
    <xf numFmtId="181" fontId="0" fillId="33" borderId="18" xfId="0" applyNumberFormat="1" applyFont="1" applyFill="1" applyBorder="1" applyAlignment="1" applyProtection="1">
      <alignment horizontal="right"/>
      <protection/>
    </xf>
    <xf numFmtId="181" fontId="6" fillId="33" borderId="18" xfId="0" applyNumberFormat="1" applyFont="1" applyFill="1" applyBorder="1" applyAlignment="1" applyProtection="1">
      <alignment horizontal="right"/>
      <protection/>
    </xf>
    <xf numFmtId="181" fontId="6" fillId="34" borderId="24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/>
      <protection/>
    </xf>
    <xf numFmtId="181" fontId="6" fillId="34" borderId="17" xfId="0" applyNumberFormat="1" applyFont="1" applyFill="1" applyBorder="1" applyAlignment="1" applyProtection="1">
      <alignment horizontal="right"/>
      <protection/>
    </xf>
    <xf numFmtId="181" fontId="7" fillId="33" borderId="18" xfId="0" applyNumberFormat="1" applyFont="1" applyFill="1" applyBorder="1" applyAlignment="1" applyProtection="1">
      <alignment horizontal="right"/>
      <protection/>
    </xf>
    <xf numFmtId="181" fontId="6" fillId="34" borderId="19" xfId="0" applyNumberFormat="1" applyFont="1" applyFill="1" applyBorder="1" applyAlignment="1" applyProtection="1">
      <alignment horizontal="right"/>
      <protection/>
    </xf>
    <xf numFmtId="181" fontId="8" fillId="39" borderId="13" xfId="0" applyNumberFormat="1" applyFont="1" applyFill="1" applyBorder="1" applyAlignment="1" applyProtection="1">
      <alignment horizontal="right"/>
      <protection/>
    </xf>
    <xf numFmtId="181" fontId="0" fillId="34" borderId="13" xfId="0" applyNumberFormat="1" applyFont="1" applyFill="1" applyBorder="1" applyAlignment="1" applyProtection="1">
      <alignment horizontal="right"/>
      <protection/>
    </xf>
    <xf numFmtId="181" fontId="3" fillId="39" borderId="13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ont="1" applyFill="1" applyBorder="1" applyAlignment="1" applyProtection="1">
      <alignment/>
      <protection/>
    </xf>
    <xf numFmtId="181" fontId="5" fillId="33" borderId="0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ont="1" applyFill="1" applyBorder="1" applyAlignment="1" applyProtection="1">
      <alignment/>
      <protection/>
    </xf>
    <xf numFmtId="181" fontId="6" fillId="34" borderId="13" xfId="0" applyNumberFormat="1" applyFont="1" applyFill="1" applyBorder="1" applyAlignment="1" applyProtection="1">
      <alignment horizontal="right"/>
      <protection/>
    </xf>
    <xf numFmtId="180" fontId="0" fillId="34" borderId="13" xfId="0" applyNumberFormat="1" applyFont="1" applyFill="1" applyBorder="1" applyAlignment="1" applyProtection="1">
      <alignment horizontal="right"/>
      <protection/>
    </xf>
    <xf numFmtId="0" fontId="11" fillId="33" borderId="11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3" fillId="39" borderId="13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0" fontId="3" fillId="42" borderId="13" xfId="0" applyFont="1" applyFill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vertical="center"/>
    </xf>
    <xf numFmtId="181" fontId="0" fillId="40" borderId="10" xfId="0" applyNumberFormat="1" applyFont="1" applyFill="1" applyBorder="1" applyAlignment="1">
      <alignment vertical="center"/>
    </xf>
    <xf numFmtId="181" fontId="0" fillId="34" borderId="13" xfId="0" applyNumberFormat="1" applyFont="1" applyFill="1" applyBorder="1" applyAlignment="1">
      <alignment horizontal="left"/>
    </xf>
    <xf numFmtId="181" fontId="0" fillId="34" borderId="19" xfId="0" applyNumberFormat="1" applyFont="1" applyFill="1" applyBorder="1" applyAlignment="1">
      <alignment/>
    </xf>
    <xf numFmtId="181" fontId="0" fillId="33" borderId="23" xfId="0" applyNumberFormat="1" applyFont="1" applyFill="1" applyBorder="1" applyAlignment="1">
      <alignment/>
    </xf>
    <xf numFmtId="181" fontId="0" fillId="33" borderId="0" xfId="0" applyNumberFormat="1" applyFont="1" applyFill="1" applyBorder="1" applyAlignment="1" applyProtection="1">
      <alignment/>
      <protection/>
    </xf>
    <xf numFmtId="181" fontId="0" fillId="33" borderId="18" xfId="0" applyNumberFormat="1" applyFont="1" applyFill="1" applyBorder="1" applyAlignment="1">
      <alignment/>
    </xf>
    <xf numFmtId="181" fontId="7" fillId="34" borderId="13" xfId="0" applyNumberFormat="1" applyFont="1" applyFill="1" applyBorder="1" applyAlignment="1">
      <alignment horizontal="center"/>
    </xf>
    <xf numFmtId="181" fontId="0" fillId="40" borderId="18" xfId="0" applyNumberFormat="1" applyFont="1" applyFill="1" applyBorder="1" applyAlignment="1">
      <alignment/>
    </xf>
    <xf numFmtId="181" fontId="0" fillId="33" borderId="0" xfId="0" applyNumberFormat="1" applyFont="1" applyFill="1" applyBorder="1" applyAlignment="1">
      <alignment/>
    </xf>
    <xf numFmtId="181" fontId="0" fillId="34" borderId="0" xfId="0" applyNumberFormat="1" applyFill="1" applyAlignment="1">
      <alignment/>
    </xf>
    <xf numFmtId="182" fontId="0" fillId="33" borderId="10" xfId="0" applyNumberFormat="1" applyFont="1" applyFill="1" applyBorder="1" applyAlignment="1">
      <alignment vertical="center"/>
    </xf>
    <xf numFmtId="182" fontId="0" fillId="40" borderId="10" xfId="0" applyNumberFormat="1" applyFont="1" applyFill="1" applyBorder="1" applyAlignment="1">
      <alignment vertical="center"/>
    </xf>
    <xf numFmtId="182" fontId="0" fillId="34" borderId="13" xfId="0" applyNumberFormat="1" applyFont="1" applyFill="1" applyBorder="1" applyAlignment="1">
      <alignment horizontal="left"/>
    </xf>
    <xf numFmtId="182" fontId="0" fillId="34" borderId="21" xfId="0" applyNumberFormat="1" applyFont="1" applyFill="1" applyBorder="1" applyAlignment="1">
      <alignment horizontal="left"/>
    </xf>
    <xf numFmtId="182" fontId="0" fillId="34" borderId="19" xfId="0" applyNumberFormat="1" applyFont="1" applyFill="1" applyBorder="1" applyAlignment="1">
      <alignment/>
    </xf>
    <xf numFmtId="182" fontId="0" fillId="33" borderId="23" xfId="0" applyNumberFormat="1" applyFont="1" applyFill="1" applyBorder="1" applyAlignment="1">
      <alignment/>
    </xf>
    <xf numFmtId="182" fontId="0" fillId="34" borderId="13" xfId="0" applyNumberFormat="1" applyFont="1" applyFill="1" applyBorder="1" applyAlignment="1" applyProtection="1">
      <alignment horizontal="right"/>
      <protection/>
    </xf>
    <xf numFmtId="182" fontId="8" fillId="39" borderId="13" xfId="0" applyNumberFormat="1" applyFont="1" applyFill="1" applyBorder="1" applyAlignment="1" applyProtection="1">
      <alignment horizontal="right"/>
      <protection/>
    </xf>
    <xf numFmtId="182" fontId="0" fillId="33" borderId="0" xfId="0" applyNumberFormat="1" applyFont="1" applyFill="1" applyBorder="1" applyAlignment="1" applyProtection="1">
      <alignment/>
      <protection/>
    </xf>
    <xf numFmtId="182" fontId="0" fillId="33" borderId="10" xfId="0" applyNumberFormat="1" applyFont="1" applyFill="1" applyBorder="1" applyAlignment="1" applyProtection="1">
      <alignment/>
      <protection/>
    </xf>
    <xf numFmtId="182" fontId="0" fillId="33" borderId="18" xfId="0" applyNumberFormat="1" applyFont="1" applyFill="1" applyBorder="1" applyAlignment="1">
      <alignment/>
    </xf>
    <xf numFmtId="182" fontId="7" fillId="34" borderId="13" xfId="0" applyNumberFormat="1" applyFont="1" applyFill="1" applyBorder="1" applyAlignment="1">
      <alignment horizontal="center"/>
    </xf>
    <xf numFmtId="182" fontId="0" fillId="40" borderId="18" xfId="0" applyNumberFormat="1" applyFont="1" applyFill="1" applyBorder="1" applyAlignment="1">
      <alignment/>
    </xf>
    <xf numFmtId="182" fontId="0" fillId="33" borderId="0" xfId="0" applyNumberFormat="1" applyFont="1" applyFill="1" applyBorder="1" applyAlignment="1">
      <alignment/>
    </xf>
    <xf numFmtId="182" fontId="0" fillId="34" borderId="0" xfId="0" applyNumberFormat="1" applyFill="1" applyAlignment="1">
      <alignment/>
    </xf>
    <xf numFmtId="180" fontId="6" fillId="34" borderId="13" xfId="0" applyNumberFormat="1" applyFont="1" applyFill="1" applyBorder="1" applyAlignment="1" applyProtection="1">
      <alignment horizontal="left"/>
      <protection locked="0"/>
    </xf>
    <xf numFmtId="0" fontId="6" fillId="34" borderId="0" xfId="0" applyFont="1" applyFill="1" applyAlignment="1">
      <alignment/>
    </xf>
    <xf numFmtId="180" fontId="0" fillId="34" borderId="15" xfId="0" applyNumberFormat="1" applyFont="1" applyFill="1" applyBorder="1" applyAlignment="1" applyProtection="1">
      <alignment horizontal="left"/>
      <protection locked="0"/>
    </xf>
    <xf numFmtId="181" fontId="0" fillId="34" borderId="17" xfId="0" applyNumberFormat="1" applyFont="1" applyFill="1" applyBorder="1" applyAlignment="1" applyProtection="1">
      <alignment horizontal="right"/>
      <protection/>
    </xf>
    <xf numFmtId="181" fontId="0" fillId="34" borderId="24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Alignment="1">
      <alignment/>
    </xf>
    <xf numFmtId="0" fontId="0" fillId="34" borderId="13" xfId="0" applyFill="1" applyBorder="1" applyAlignment="1">
      <alignment/>
    </xf>
    <xf numFmtId="0" fontId="0" fillId="34" borderId="17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/>
    </xf>
    <xf numFmtId="180" fontId="8" fillId="39" borderId="13" xfId="0" applyNumberFormat="1" applyFont="1" applyFill="1" applyBorder="1" applyAlignment="1" applyProtection="1">
      <alignment horizontal="left"/>
      <protection locked="0"/>
    </xf>
    <xf numFmtId="182" fontId="0" fillId="34" borderId="19" xfId="0" applyNumberFormat="1" applyFont="1" applyFill="1" applyBorder="1" applyAlignment="1" applyProtection="1">
      <alignment/>
      <protection locked="0"/>
    </xf>
    <xf numFmtId="0" fontId="0" fillId="34" borderId="19" xfId="0" applyNumberFormat="1" applyFont="1" applyFill="1" applyBorder="1" applyAlignment="1" applyProtection="1">
      <alignment horizontal="left"/>
      <protection locked="0"/>
    </xf>
    <xf numFmtId="180" fontId="8" fillId="39" borderId="13" xfId="0" applyNumberFormat="1" applyFont="1" applyFill="1" applyBorder="1" applyAlignment="1" applyProtection="1">
      <alignment horizontal="right"/>
      <protection locked="0"/>
    </xf>
    <xf numFmtId="182" fontId="0" fillId="34" borderId="14" xfId="0" applyNumberFormat="1" applyFon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center"/>
    </xf>
    <xf numFmtId="181" fontId="0" fillId="43" borderId="21" xfId="0" applyNumberFormat="1" applyFont="1" applyFill="1" applyBorder="1" applyAlignment="1">
      <alignment horizontal="left"/>
    </xf>
    <xf numFmtId="0" fontId="0" fillId="43" borderId="14" xfId="0" applyNumberFormat="1" applyFont="1" applyFill="1" applyBorder="1" applyAlignment="1">
      <alignment horizontal="left"/>
    </xf>
    <xf numFmtId="182" fontId="0" fillId="43" borderId="21" xfId="0" applyNumberFormat="1" applyFont="1" applyFill="1" applyBorder="1" applyAlignment="1">
      <alignment horizontal="left"/>
    </xf>
    <xf numFmtId="180" fontId="54" fillId="43" borderId="13" xfId="0" applyNumberFormat="1" applyFont="1" applyFill="1" applyBorder="1" applyAlignment="1" applyProtection="1">
      <alignment horizontal="left"/>
      <protection locked="0"/>
    </xf>
    <xf numFmtId="181" fontId="55" fillId="43" borderId="19" xfId="0" applyNumberFormat="1" applyFont="1" applyFill="1" applyBorder="1" applyAlignment="1" applyProtection="1">
      <alignment/>
      <protection locked="0"/>
    </xf>
    <xf numFmtId="181" fontId="54" fillId="43" borderId="19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>
      <alignment vertical="center"/>
    </xf>
    <xf numFmtId="0" fontId="0" fillId="34" borderId="15" xfId="0" applyNumberFormat="1" applyFont="1" applyFill="1" applyBorder="1" applyAlignment="1">
      <alignment horizontal="left"/>
    </xf>
    <xf numFmtId="180" fontId="6" fillId="34" borderId="15" xfId="0" applyNumberFormat="1" applyFont="1" applyFill="1" applyBorder="1" applyAlignment="1" applyProtection="1">
      <alignment horizontal="left"/>
      <protection locked="0"/>
    </xf>
    <xf numFmtId="180" fontId="0" fillId="34" borderId="12" xfId="0" applyNumberFormat="1" applyFont="1" applyFill="1" applyBorder="1" applyAlignment="1">
      <alignment horizontal="right"/>
    </xf>
    <xf numFmtId="0" fontId="0" fillId="34" borderId="15" xfId="0" applyNumberFormat="1" applyFont="1" applyFill="1" applyBorder="1" applyAlignment="1">
      <alignment horizontal="left" indent="1"/>
    </xf>
    <xf numFmtId="182" fontId="6" fillId="34" borderId="13" xfId="0" applyNumberFormat="1" applyFont="1" applyFill="1" applyBorder="1" applyAlignment="1" applyProtection="1">
      <alignment horizontal="right"/>
      <protection/>
    </xf>
    <xf numFmtId="182" fontId="5" fillId="33" borderId="18" xfId="0" applyNumberFormat="1" applyFont="1" applyFill="1" applyBorder="1" applyAlignment="1" applyProtection="1">
      <alignment horizontal="right"/>
      <protection/>
    </xf>
    <xf numFmtId="0" fontId="0" fillId="34" borderId="13" xfId="0" applyFont="1" applyFill="1" applyBorder="1" applyAlignment="1">
      <alignment/>
    </xf>
    <xf numFmtId="0" fontId="56" fillId="40" borderId="0" xfId="0" applyFont="1" applyFill="1" applyAlignment="1">
      <alignment horizontal="centerContinuous" vertical="center" wrapText="1"/>
    </xf>
    <xf numFmtId="0" fontId="0" fillId="40" borderId="0" xfId="0" applyFill="1" applyAlignment="1">
      <alignment horizontal="centerContinuous" vertical="center" wrapText="1"/>
    </xf>
    <xf numFmtId="0" fontId="8" fillId="40" borderId="0" xfId="0" applyFont="1" applyFill="1" applyAlignment="1">
      <alignment horizontal="centerContinuous" vertical="center" wrapText="1"/>
    </xf>
    <xf numFmtId="181" fontId="3" fillId="39" borderId="13" xfId="0" applyNumberFormat="1" applyFont="1" applyFill="1" applyBorder="1" applyAlignment="1" applyProtection="1">
      <alignment horizontal="right"/>
      <protection locked="0"/>
    </xf>
    <xf numFmtId="182" fontId="3" fillId="39" borderId="13" xfId="0" applyNumberFormat="1" applyFont="1" applyFill="1" applyBorder="1" applyAlignment="1" applyProtection="1">
      <alignment horizontal="right"/>
      <protection locked="0"/>
    </xf>
    <xf numFmtId="0" fontId="3" fillId="40" borderId="0" xfId="0" applyFont="1" applyFill="1" applyAlignment="1">
      <alignment horizontal="centerContinuous" vertical="center" wrapText="1"/>
    </xf>
    <xf numFmtId="0" fontId="5" fillId="34" borderId="13" xfId="0" applyNumberFormat="1" applyFont="1" applyFill="1" applyBorder="1" applyAlignment="1">
      <alignment horizontal="center"/>
    </xf>
    <xf numFmtId="0" fontId="8" fillId="39" borderId="13" xfId="0" applyNumberFormat="1" applyFont="1" applyFill="1" applyBorder="1" applyAlignment="1">
      <alignment horizontal="center"/>
    </xf>
    <xf numFmtId="0" fontId="8" fillId="39" borderId="14" xfId="0" applyNumberFormat="1" applyFont="1" applyFill="1" applyBorder="1" applyAlignment="1">
      <alignment horizontal="center"/>
    </xf>
    <xf numFmtId="0" fontId="3" fillId="39" borderId="15" xfId="0" applyNumberFormat="1" applyFont="1" applyFill="1" applyBorder="1" applyAlignment="1">
      <alignment horizontal="center"/>
    </xf>
    <xf numFmtId="181" fontId="8" fillId="39" borderId="13" xfId="0" applyNumberFormat="1" applyFont="1" applyFill="1" applyBorder="1" applyAlignment="1" applyProtection="1">
      <alignment horizontal="right"/>
      <protection locked="0"/>
    </xf>
    <xf numFmtId="180" fontId="0" fillId="43" borderId="19" xfId="0" applyNumberFormat="1" applyFont="1" applyFill="1" applyBorder="1" applyAlignment="1" applyProtection="1">
      <alignment horizontal="right"/>
      <protection/>
    </xf>
    <xf numFmtId="0" fontId="0" fillId="44" borderId="21" xfId="0" applyFont="1" applyFill="1" applyBorder="1" applyAlignment="1">
      <alignment/>
    </xf>
    <xf numFmtId="0" fontId="0" fillId="44" borderId="18" xfId="0" applyFont="1" applyFill="1" applyBorder="1" applyAlignment="1">
      <alignment/>
    </xf>
    <xf numFmtId="0" fontId="0" fillId="44" borderId="10" xfId="0" applyFont="1" applyFill="1" applyBorder="1" applyAlignment="1">
      <alignment/>
    </xf>
    <xf numFmtId="0" fontId="6" fillId="44" borderId="10" xfId="0" applyFont="1" applyFill="1" applyBorder="1" applyAlignment="1">
      <alignment/>
    </xf>
    <xf numFmtId="0" fontId="0" fillId="44" borderId="20" xfId="0" applyFont="1" applyFill="1" applyBorder="1" applyAlignment="1">
      <alignment/>
    </xf>
    <xf numFmtId="0" fontId="3" fillId="44" borderId="15" xfId="0" applyNumberFormat="1" applyFont="1" applyFill="1" applyBorder="1" applyAlignment="1" quotePrefix="1">
      <alignment/>
    </xf>
    <xf numFmtId="0" fontId="0" fillId="44" borderId="15" xfId="0" applyNumberFormat="1" applyFont="1" applyFill="1" applyBorder="1" applyAlignment="1">
      <alignment/>
    </xf>
    <xf numFmtId="0" fontId="0" fillId="44" borderId="15" xfId="0" applyNumberFormat="1" applyFont="1" applyFill="1" applyBorder="1" applyAlignment="1" applyProtection="1">
      <alignment/>
      <protection/>
    </xf>
    <xf numFmtId="0" fontId="0" fillId="44" borderId="12" xfId="0" applyNumberFormat="1" applyFont="1" applyFill="1" applyBorder="1" applyAlignment="1">
      <alignment/>
    </xf>
    <xf numFmtId="0" fontId="0" fillId="44" borderId="24" xfId="0" applyFont="1" applyFill="1" applyBorder="1" applyAlignment="1">
      <alignment/>
    </xf>
    <xf numFmtId="0" fontId="0" fillId="44" borderId="22" xfId="0" applyFont="1" applyFill="1" applyBorder="1" applyAlignment="1">
      <alignment/>
    </xf>
    <xf numFmtId="0" fontId="6" fillId="44" borderId="18" xfId="0" applyFont="1" applyFill="1" applyBorder="1" applyAlignment="1">
      <alignment/>
    </xf>
    <xf numFmtId="0" fontId="3" fillId="44" borderId="11" xfId="0" applyNumberFormat="1" applyFont="1" applyFill="1" applyBorder="1" applyAlignment="1">
      <alignment horizontal="left" vertical="center"/>
    </xf>
    <xf numFmtId="0" fontId="3" fillId="44" borderId="15" xfId="0" applyNumberFormat="1" applyFont="1" applyFill="1" applyBorder="1" applyAlignment="1">
      <alignment horizontal="left" vertical="center"/>
    </xf>
    <xf numFmtId="0" fontId="0" fillId="45" borderId="21" xfId="0" applyFont="1" applyFill="1" applyBorder="1" applyAlignment="1">
      <alignment/>
    </xf>
    <xf numFmtId="0" fontId="3" fillId="45" borderId="11" xfId="0" applyNumberFormat="1" applyFont="1" applyFill="1" applyBorder="1" applyAlignment="1">
      <alignment horizontal="left" vertical="center"/>
    </xf>
    <xf numFmtId="0" fontId="3" fillId="45" borderId="15" xfId="0" applyNumberFormat="1" applyFont="1" applyFill="1" applyBorder="1" applyAlignment="1">
      <alignment horizontal="left" vertical="center"/>
    </xf>
    <xf numFmtId="0" fontId="0" fillId="45" borderId="15" xfId="0" applyNumberFormat="1" applyFont="1" applyFill="1" applyBorder="1" applyAlignment="1">
      <alignment/>
    </xf>
    <xf numFmtId="0" fontId="0" fillId="45" borderId="15" xfId="0" applyNumberFormat="1" applyFont="1" applyFill="1" applyBorder="1" applyAlignment="1" applyProtection="1">
      <alignment/>
      <protection/>
    </xf>
    <xf numFmtId="0" fontId="0" fillId="45" borderId="22" xfId="0" applyFont="1" applyFill="1" applyBorder="1" applyAlignment="1">
      <alignment/>
    </xf>
    <xf numFmtId="0" fontId="0" fillId="45" borderId="18" xfId="0" applyFont="1" applyFill="1" applyBorder="1" applyAlignment="1">
      <alignment/>
    </xf>
    <xf numFmtId="0" fontId="6" fillId="45" borderId="18" xfId="0" applyFont="1" applyFill="1" applyBorder="1" applyAlignment="1">
      <alignment/>
    </xf>
    <xf numFmtId="0" fontId="0" fillId="45" borderId="24" xfId="0" applyFont="1" applyFill="1" applyBorder="1" applyAlignment="1">
      <alignment/>
    </xf>
    <xf numFmtId="0" fontId="0" fillId="45" borderId="20" xfId="0" applyFont="1" applyFill="1" applyBorder="1" applyAlignment="1">
      <alignment/>
    </xf>
    <xf numFmtId="0" fontId="3" fillId="45" borderId="12" xfId="0" applyNumberFormat="1" applyFont="1" applyFill="1" applyBorder="1" applyAlignment="1" quotePrefix="1">
      <alignment/>
    </xf>
    <xf numFmtId="0" fontId="3" fillId="45" borderId="15" xfId="0" applyNumberFormat="1" applyFont="1" applyFill="1" applyBorder="1" applyAlignment="1" quotePrefix="1">
      <alignment/>
    </xf>
    <xf numFmtId="0" fontId="0" fillId="45" borderId="12" xfId="0" applyNumberFormat="1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6" fillId="45" borderId="10" xfId="0" applyFont="1" applyFill="1" applyBorder="1" applyAlignment="1">
      <alignment/>
    </xf>
    <xf numFmtId="0" fontId="3" fillId="44" borderId="12" xfId="0" applyNumberFormat="1" applyFont="1" applyFill="1" applyBorder="1" applyAlignment="1" quotePrefix="1">
      <alignment/>
    </xf>
    <xf numFmtId="180" fontId="0" fillId="34" borderId="16" xfId="66" applyNumberFormat="1" applyFont="1" applyFill="1" applyBorder="1" applyAlignment="1" applyProtection="1">
      <alignment horizontal="right"/>
      <protection/>
    </xf>
    <xf numFmtId="180" fontId="6" fillId="34" borderId="13" xfId="66" applyNumberFormat="1" applyFont="1" applyFill="1" applyBorder="1" applyAlignment="1" applyProtection="1">
      <alignment horizontal="right"/>
      <protection/>
    </xf>
    <xf numFmtId="180" fontId="6" fillId="34" borderId="16" xfId="66" applyNumberFormat="1" applyFont="1" applyFill="1" applyBorder="1" applyAlignment="1" applyProtection="1">
      <alignment horizontal="right"/>
      <protection/>
    </xf>
    <xf numFmtId="180" fontId="0" fillId="34" borderId="19" xfId="66" applyNumberFormat="1" applyFont="1" applyFill="1" applyBorder="1" applyAlignment="1" applyProtection="1">
      <alignment horizontal="right"/>
      <protection/>
    </xf>
    <xf numFmtId="180" fontId="6" fillId="34" borderId="19" xfId="66" applyNumberFormat="1" applyFont="1" applyFill="1" applyBorder="1" applyAlignment="1" applyProtection="1">
      <alignment horizontal="right"/>
      <protection/>
    </xf>
    <xf numFmtId="181" fontId="6" fillId="34" borderId="17" xfId="66" applyNumberFormat="1" applyFont="1" applyFill="1" applyBorder="1" applyAlignment="1" applyProtection="1">
      <alignment horizontal="right"/>
      <protection/>
    </xf>
    <xf numFmtId="181" fontId="0" fillId="34" borderId="13" xfId="66" applyNumberFormat="1" applyFont="1" applyFill="1" applyBorder="1" applyAlignment="1" applyProtection="1">
      <alignment horizontal="right"/>
      <protection/>
    </xf>
    <xf numFmtId="181" fontId="6" fillId="34" borderId="13" xfId="66" applyNumberFormat="1" applyFont="1" applyFill="1" applyBorder="1" applyAlignment="1" applyProtection="1">
      <alignment horizontal="right"/>
      <protection/>
    </xf>
    <xf numFmtId="180" fontId="0" fillId="34" borderId="13" xfId="66" applyNumberFormat="1" applyFont="1" applyFill="1" applyBorder="1" applyAlignment="1" applyProtection="1">
      <alignment horizontal="right"/>
      <protection/>
    </xf>
    <xf numFmtId="180" fontId="6" fillId="35" borderId="15" xfId="66" applyNumberFormat="1" applyFont="1" applyFill="1" applyBorder="1" applyAlignment="1" applyProtection="1">
      <alignment horizontal="right"/>
      <protection/>
    </xf>
    <xf numFmtId="181" fontId="0" fillId="34" borderId="16" xfId="66" applyNumberFormat="1" applyFont="1" applyFill="1" applyBorder="1" applyAlignment="1" applyProtection="1">
      <alignment horizontal="right"/>
      <protection/>
    </xf>
    <xf numFmtId="181" fontId="6" fillId="34" borderId="16" xfId="66" applyNumberFormat="1" applyFont="1" applyFill="1" applyBorder="1" applyAlignment="1" applyProtection="1">
      <alignment horizontal="right"/>
      <protection/>
    </xf>
    <xf numFmtId="180" fontId="0" fillId="34" borderId="16" xfId="66" applyNumberFormat="1" applyFont="1" applyFill="1" applyBorder="1" applyAlignment="1">
      <alignment horizontal="right"/>
      <protection/>
    </xf>
    <xf numFmtId="0" fontId="0" fillId="33" borderId="0" xfId="66" applyNumberFormat="1" applyFont="1" applyFill="1" applyBorder="1" applyAlignment="1" applyProtection="1">
      <alignment/>
      <protection/>
    </xf>
    <xf numFmtId="0" fontId="8" fillId="33" borderId="0" xfId="66" applyNumberFormat="1" applyFont="1" applyFill="1" applyBorder="1" applyProtection="1">
      <alignment vertical="center"/>
      <protection/>
    </xf>
    <xf numFmtId="0" fontId="6" fillId="43" borderId="14" xfId="0" applyNumberFormat="1" applyFont="1" applyFill="1" applyBorder="1" applyAlignment="1">
      <alignment horizontal="left"/>
    </xf>
    <xf numFmtId="0" fontId="6" fillId="43" borderId="19" xfId="0" applyNumberFormat="1" applyFont="1" applyFill="1" applyBorder="1" applyAlignment="1">
      <alignment horizontal="left"/>
    </xf>
    <xf numFmtId="0" fontId="0" fillId="43" borderId="19" xfId="0" applyNumberFormat="1" applyFont="1" applyFill="1" applyBorder="1" applyAlignment="1">
      <alignment horizontal="left"/>
    </xf>
    <xf numFmtId="0" fontId="0" fillId="43" borderId="21" xfId="0" applyNumberFormat="1" applyFont="1" applyFill="1" applyBorder="1" applyAlignment="1">
      <alignment horizontal="left"/>
    </xf>
    <xf numFmtId="0" fontId="0" fillId="43" borderId="22" xfId="0" applyNumberFormat="1" applyFont="1" applyFill="1" applyBorder="1" applyAlignment="1">
      <alignment horizontal="left"/>
    </xf>
    <xf numFmtId="0" fontId="6" fillId="43" borderId="14" xfId="0" applyNumberFormat="1" applyFont="1" applyFill="1" applyBorder="1" applyAlignment="1">
      <alignment/>
    </xf>
    <xf numFmtId="0" fontId="6" fillId="43" borderId="19" xfId="0" applyNumberFormat="1" applyFont="1" applyFill="1" applyBorder="1" applyAlignment="1">
      <alignment/>
    </xf>
    <xf numFmtId="0" fontId="0" fillId="43" borderId="21" xfId="0" applyNumberFormat="1" applyFont="1" applyFill="1" applyBorder="1" applyAlignment="1">
      <alignment/>
    </xf>
    <xf numFmtId="0" fontId="0" fillId="43" borderId="22" xfId="0" applyNumberFormat="1" applyFont="1" applyFill="1" applyBorder="1" applyAlignment="1">
      <alignment/>
    </xf>
    <xf numFmtId="0" fontId="0" fillId="43" borderId="14" xfId="0" applyNumberFormat="1" applyFont="1" applyFill="1" applyBorder="1" applyAlignment="1">
      <alignment/>
    </xf>
    <xf numFmtId="0" fontId="0" fillId="43" borderId="19" xfId="0" applyNumberFormat="1" applyFont="1" applyFill="1" applyBorder="1" applyAlignment="1">
      <alignment/>
    </xf>
    <xf numFmtId="181" fontId="0" fillId="43" borderId="19" xfId="0" applyNumberFormat="1" applyFont="1" applyFill="1" applyBorder="1" applyAlignment="1">
      <alignment/>
    </xf>
    <xf numFmtId="0" fontId="3" fillId="36" borderId="0" xfId="0" applyNumberFormat="1" applyFont="1" applyFill="1" applyBorder="1" applyAlignment="1" quotePrefix="1">
      <alignment/>
    </xf>
    <xf numFmtId="0" fontId="0" fillId="45" borderId="23" xfId="0" applyFont="1" applyFill="1" applyBorder="1" applyAlignment="1">
      <alignment/>
    </xf>
    <xf numFmtId="0" fontId="3" fillId="45" borderId="0" xfId="0" applyNumberFormat="1" applyFont="1" applyFill="1" applyBorder="1" applyAlignment="1" quotePrefix="1">
      <alignment/>
    </xf>
    <xf numFmtId="0" fontId="3" fillId="40" borderId="11" xfId="0" applyNumberFormat="1" applyFont="1" applyFill="1" applyBorder="1" applyAlignment="1" quotePrefix="1">
      <alignment/>
    </xf>
    <xf numFmtId="0" fontId="3" fillId="40" borderId="11" xfId="0" applyNumberFormat="1" applyFont="1" applyFill="1" applyBorder="1" applyAlignment="1" applyProtection="1" quotePrefix="1">
      <alignment/>
      <protection/>
    </xf>
    <xf numFmtId="0" fontId="0" fillId="44" borderId="23" xfId="0" applyFont="1" applyFill="1" applyBorder="1" applyAlignment="1">
      <alignment/>
    </xf>
    <xf numFmtId="0" fontId="3" fillId="44" borderId="0" xfId="0" applyNumberFormat="1" applyFont="1" applyFill="1" applyBorder="1" applyAlignment="1" quotePrefix="1">
      <alignment/>
    </xf>
    <xf numFmtId="0" fontId="0" fillId="46" borderId="21" xfId="0" applyFont="1" applyFill="1" applyBorder="1" applyAlignment="1">
      <alignment/>
    </xf>
    <xf numFmtId="0" fontId="0" fillId="46" borderId="18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6" fillId="46" borderId="10" xfId="0" applyFont="1" applyFill="1" applyBorder="1" applyAlignment="1">
      <alignment/>
    </xf>
    <xf numFmtId="0" fontId="0" fillId="47" borderId="21" xfId="0" applyFont="1" applyFill="1" applyBorder="1" applyAlignment="1">
      <alignment/>
    </xf>
    <xf numFmtId="0" fontId="0" fillId="47" borderId="18" xfId="0" applyFont="1" applyFill="1" applyBorder="1" applyAlignment="1">
      <alignment/>
    </xf>
    <xf numFmtId="0" fontId="0" fillId="47" borderId="10" xfId="0" applyFont="1" applyFill="1" applyBorder="1" applyAlignment="1">
      <alignment/>
    </xf>
    <xf numFmtId="0" fontId="6" fillId="47" borderId="10" xfId="0" applyFont="1" applyFill="1" applyBorder="1" applyAlignment="1">
      <alignment/>
    </xf>
    <xf numFmtId="0" fontId="0" fillId="47" borderId="20" xfId="0" applyFont="1" applyFill="1" applyBorder="1" applyAlignment="1">
      <alignment/>
    </xf>
    <xf numFmtId="0" fontId="0" fillId="48" borderId="10" xfId="0" applyFont="1" applyFill="1" applyBorder="1" applyAlignment="1">
      <alignment/>
    </xf>
    <xf numFmtId="0" fontId="0" fillId="48" borderId="21" xfId="0" applyFont="1" applyFill="1" applyBorder="1" applyAlignment="1">
      <alignment/>
    </xf>
    <xf numFmtId="0" fontId="0" fillId="48" borderId="18" xfId="0" applyFont="1" applyFill="1" applyBorder="1" applyAlignment="1">
      <alignment/>
    </xf>
    <xf numFmtId="0" fontId="6" fillId="48" borderId="10" xfId="0" applyFont="1" applyFill="1" applyBorder="1" applyAlignment="1">
      <alignment/>
    </xf>
    <xf numFmtId="0" fontId="0" fillId="48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3" fillId="36" borderId="11" xfId="0" applyNumberFormat="1" applyFont="1" applyFill="1" applyBorder="1" applyAlignment="1" quotePrefix="1">
      <alignment/>
    </xf>
    <xf numFmtId="0" fontId="0" fillId="36" borderId="11" xfId="0" applyNumberFormat="1" applyFont="1" applyFill="1" applyBorder="1" applyAlignment="1">
      <alignment/>
    </xf>
    <xf numFmtId="0" fontId="3" fillId="14" borderId="15" xfId="0" applyNumberFormat="1" applyFont="1" applyFill="1" applyBorder="1" applyAlignment="1">
      <alignment horizontal="left" vertical="center"/>
    </xf>
    <xf numFmtId="0" fontId="0" fillId="24" borderId="23" xfId="0" applyFont="1" applyFill="1" applyBorder="1" applyAlignment="1">
      <alignment/>
    </xf>
    <xf numFmtId="0" fontId="3" fillId="45" borderId="0" xfId="0" applyNumberFormat="1" applyFont="1" applyFill="1" applyBorder="1" applyAlignment="1">
      <alignment horizontal="left" vertical="center"/>
    </xf>
    <xf numFmtId="0" fontId="3" fillId="45" borderId="12" xfId="0" applyNumberFormat="1" applyFont="1" applyFill="1" applyBorder="1" applyAlignment="1">
      <alignment horizontal="left" vertical="center"/>
    </xf>
    <xf numFmtId="0" fontId="0" fillId="45" borderId="12" xfId="0" applyNumberFormat="1" applyFont="1" applyFill="1" applyBorder="1" applyAlignment="1" applyProtection="1">
      <alignment/>
      <protection/>
    </xf>
    <xf numFmtId="0" fontId="0" fillId="46" borderId="23" xfId="0" applyFont="1" applyFill="1" applyBorder="1" applyAlignment="1">
      <alignment/>
    </xf>
    <xf numFmtId="0" fontId="0" fillId="49" borderId="21" xfId="0" applyFont="1" applyFill="1" applyBorder="1" applyAlignment="1">
      <alignment/>
    </xf>
    <xf numFmtId="0" fontId="0" fillId="49" borderId="18" xfId="0" applyFont="1" applyFill="1" applyBorder="1" applyAlignment="1">
      <alignment/>
    </xf>
    <xf numFmtId="0" fontId="0" fillId="49" borderId="10" xfId="0" applyFont="1" applyFill="1" applyBorder="1" applyAlignment="1">
      <alignment/>
    </xf>
    <xf numFmtId="0" fontId="6" fillId="49" borderId="10" xfId="0" applyFont="1" applyFill="1" applyBorder="1" applyAlignment="1">
      <alignment/>
    </xf>
    <xf numFmtId="0" fontId="0" fillId="49" borderId="23" xfId="0" applyFont="1" applyFill="1" applyBorder="1" applyAlignment="1">
      <alignment/>
    </xf>
    <xf numFmtId="0" fontId="0" fillId="49" borderId="15" xfId="0" applyNumberFormat="1" applyFont="1" applyFill="1" applyBorder="1" applyAlignment="1">
      <alignment/>
    </xf>
    <xf numFmtId="0" fontId="0" fillId="49" borderId="15" xfId="0" applyNumberFormat="1" applyFont="1" applyFill="1" applyBorder="1" applyAlignment="1" applyProtection="1">
      <alignment/>
      <protection/>
    </xf>
    <xf numFmtId="0" fontId="0" fillId="49" borderId="22" xfId="0" applyFont="1" applyFill="1" applyBorder="1" applyAlignment="1">
      <alignment/>
    </xf>
    <xf numFmtId="0" fontId="6" fillId="49" borderId="18" xfId="0" applyFont="1" applyFill="1" applyBorder="1" applyAlignment="1">
      <alignment/>
    </xf>
    <xf numFmtId="0" fontId="3" fillId="49" borderId="15" xfId="0" applyNumberFormat="1" applyFont="1" applyFill="1" applyBorder="1" applyAlignment="1">
      <alignment horizontal="left" vertical="center"/>
    </xf>
    <xf numFmtId="0" fontId="3" fillId="49" borderId="11" xfId="0" applyNumberFormat="1" applyFont="1" applyFill="1" applyBorder="1" applyAlignment="1">
      <alignment horizontal="left" vertical="center"/>
    </xf>
    <xf numFmtId="0" fontId="3" fillId="49" borderId="0" xfId="0" applyNumberFormat="1" applyFont="1" applyFill="1" applyBorder="1" applyAlignment="1" quotePrefix="1">
      <alignment/>
    </xf>
    <xf numFmtId="0" fontId="3" fillId="49" borderId="11" xfId="0" applyNumberFormat="1" applyFont="1" applyFill="1" applyBorder="1" applyAlignment="1" quotePrefix="1">
      <alignment/>
    </xf>
    <xf numFmtId="0" fontId="3" fillId="49" borderId="11" xfId="0" applyNumberFormat="1" applyFont="1" applyFill="1" applyBorder="1" applyAlignment="1" applyProtection="1" quotePrefix="1">
      <alignment/>
      <protection/>
    </xf>
    <xf numFmtId="0" fontId="3" fillId="46" borderId="11" xfId="0" applyNumberFormat="1" applyFont="1" applyFill="1" applyBorder="1" applyAlignment="1">
      <alignment horizontal="left" vertical="center"/>
    </xf>
    <xf numFmtId="0" fontId="3" fillId="46" borderId="15" xfId="0" applyNumberFormat="1" applyFont="1" applyFill="1" applyBorder="1" applyAlignment="1">
      <alignment horizontal="left" vertical="center"/>
    </xf>
    <xf numFmtId="0" fontId="0" fillId="46" borderId="15" xfId="0" applyNumberFormat="1" applyFont="1" applyFill="1" applyBorder="1" applyAlignment="1">
      <alignment/>
    </xf>
    <xf numFmtId="0" fontId="0" fillId="46" borderId="15" xfId="0" applyNumberFormat="1" applyFont="1" applyFill="1" applyBorder="1" applyAlignment="1" applyProtection="1">
      <alignment/>
      <protection/>
    </xf>
    <xf numFmtId="0" fontId="0" fillId="46" borderId="22" xfId="0" applyFont="1" applyFill="1" applyBorder="1" applyAlignment="1">
      <alignment/>
    </xf>
    <xf numFmtId="0" fontId="6" fillId="46" borderId="18" xfId="0" applyFont="1" applyFill="1" applyBorder="1" applyAlignment="1">
      <alignment/>
    </xf>
    <xf numFmtId="0" fontId="0" fillId="46" borderId="24" xfId="0" applyFont="1" applyFill="1" applyBorder="1" applyAlignment="1">
      <alignment/>
    </xf>
    <xf numFmtId="0" fontId="3" fillId="46" borderId="0" xfId="0" applyNumberFormat="1" applyFont="1" applyFill="1" applyBorder="1" applyAlignment="1" quotePrefix="1">
      <alignment/>
    </xf>
    <xf numFmtId="0" fontId="3" fillId="46" borderId="15" xfId="0" applyNumberFormat="1" applyFont="1" applyFill="1" applyBorder="1" applyAlignment="1" quotePrefix="1">
      <alignment/>
    </xf>
    <xf numFmtId="0" fontId="3" fillId="46" borderId="15" xfId="0" applyNumberFormat="1" applyFont="1" applyFill="1" applyBorder="1" applyAlignment="1" applyProtection="1" quotePrefix="1">
      <alignment/>
      <protection/>
    </xf>
    <xf numFmtId="0" fontId="0" fillId="50" borderId="21" xfId="0" applyFont="1" applyFill="1" applyBorder="1" applyAlignment="1">
      <alignment/>
    </xf>
    <xf numFmtId="0" fontId="0" fillId="50" borderId="18" xfId="0" applyFont="1" applyFill="1" applyBorder="1" applyAlignment="1">
      <alignment/>
    </xf>
    <xf numFmtId="0" fontId="0" fillId="50" borderId="10" xfId="0" applyFont="1" applyFill="1" applyBorder="1" applyAlignment="1">
      <alignment/>
    </xf>
    <xf numFmtId="0" fontId="6" fillId="50" borderId="10" xfId="0" applyFont="1" applyFill="1" applyBorder="1" applyAlignment="1">
      <alignment/>
    </xf>
    <xf numFmtId="0" fontId="0" fillId="50" borderId="20" xfId="0" applyFont="1" applyFill="1" applyBorder="1" applyAlignment="1">
      <alignment/>
    </xf>
    <xf numFmtId="0" fontId="3" fillId="50" borderId="11" xfId="0" applyNumberFormat="1" applyFont="1" applyFill="1" applyBorder="1" applyAlignment="1">
      <alignment horizontal="left" vertical="center"/>
    </xf>
    <xf numFmtId="0" fontId="3" fillId="50" borderId="15" xfId="0" applyNumberFormat="1" applyFont="1" applyFill="1" applyBorder="1" applyAlignment="1">
      <alignment horizontal="left" vertical="center"/>
    </xf>
    <xf numFmtId="0" fontId="0" fillId="50" borderId="15" xfId="0" applyNumberFormat="1" applyFont="1" applyFill="1" applyBorder="1" applyAlignment="1">
      <alignment/>
    </xf>
    <xf numFmtId="0" fontId="0" fillId="50" borderId="15" xfId="0" applyNumberFormat="1" applyFont="1" applyFill="1" applyBorder="1" applyAlignment="1" applyProtection="1">
      <alignment/>
      <protection/>
    </xf>
    <xf numFmtId="0" fontId="0" fillId="50" borderId="22" xfId="0" applyFont="1" applyFill="1" applyBorder="1" applyAlignment="1">
      <alignment/>
    </xf>
    <xf numFmtId="0" fontId="6" fillId="50" borderId="18" xfId="0" applyFont="1" applyFill="1" applyBorder="1" applyAlignment="1">
      <alignment/>
    </xf>
    <xf numFmtId="0" fontId="0" fillId="50" borderId="24" xfId="0" applyFont="1" applyFill="1" applyBorder="1" applyAlignment="1">
      <alignment/>
    </xf>
    <xf numFmtId="0" fontId="3" fillId="50" borderId="12" xfId="0" applyNumberFormat="1" applyFont="1" applyFill="1" applyBorder="1" applyAlignment="1" quotePrefix="1">
      <alignment/>
    </xf>
    <xf numFmtId="0" fontId="3" fillId="50" borderId="15" xfId="0" applyNumberFormat="1" applyFont="1" applyFill="1" applyBorder="1" applyAlignment="1" quotePrefix="1">
      <alignment/>
    </xf>
    <xf numFmtId="0" fontId="0" fillId="50" borderId="12" xfId="0" applyNumberFormat="1" applyFont="1" applyFill="1" applyBorder="1" applyAlignment="1">
      <alignment/>
    </xf>
    <xf numFmtId="0" fontId="3" fillId="18" borderId="12" xfId="0" applyNumberFormat="1" applyFont="1" applyFill="1" applyBorder="1" applyAlignment="1" quotePrefix="1">
      <alignment/>
    </xf>
    <xf numFmtId="0" fontId="0" fillId="18" borderId="12" xfId="0" applyNumberFormat="1" applyFont="1" applyFill="1" applyBorder="1" applyAlignment="1">
      <alignment/>
    </xf>
    <xf numFmtId="0" fontId="3" fillId="48" borderId="11" xfId="0" applyNumberFormat="1" applyFont="1" applyFill="1" applyBorder="1" applyAlignment="1">
      <alignment horizontal="left" vertical="center"/>
    </xf>
    <xf numFmtId="0" fontId="3" fillId="48" borderId="15" xfId="0" applyNumberFormat="1" applyFont="1" applyFill="1" applyBorder="1" applyAlignment="1">
      <alignment horizontal="left" vertical="center"/>
    </xf>
    <xf numFmtId="0" fontId="0" fillId="48" borderId="15" xfId="0" applyNumberFormat="1" applyFont="1" applyFill="1" applyBorder="1" applyAlignment="1">
      <alignment/>
    </xf>
    <xf numFmtId="0" fontId="0" fillId="48" borderId="15" xfId="0" applyNumberFormat="1" applyFont="1" applyFill="1" applyBorder="1" applyAlignment="1" applyProtection="1">
      <alignment/>
      <protection/>
    </xf>
    <xf numFmtId="0" fontId="0" fillId="48" borderId="22" xfId="0" applyFont="1" applyFill="1" applyBorder="1" applyAlignment="1">
      <alignment/>
    </xf>
    <xf numFmtId="0" fontId="3" fillId="14" borderId="11" xfId="0" applyNumberFormat="1" applyFont="1" applyFill="1" applyBorder="1" applyAlignment="1">
      <alignment horizontal="left" vertical="center"/>
    </xf>
    <xf numFmtId="0" fontId="0" fillId="14" borderId="15" xfId="0" applyNumberFormat="1" applyFont="1" applyFill="1" applyBorder="1" applyAlignment="1">
      <alignment/>
    </xf>
    <xf numFmtId="0" fontId="0" fillId="14" borderId="15" xfId="0" applyNumberFormat="1" applyFont="1" applyFill="1" applyBorder="1" applyAlignment="1" applyProtection="1">
      <alignment/>
      <protection/>
    </xf>
    <xf numFmtId="0" fontId="0" fillId="14" borderId="22" xfId="0" applyFont="1" applyFill="1" applyBorder="1" applyAlignment="1">
      <alignment/>
    </xf>
    <xf numFmtId="0" fontId="3" fillId="24" borderId="11" xfId="0" applyNumberFormat="1" applyFont="1" applyFill="1" applyBorder="1" applyAlignment="1">
      <alignment horizontal="left" vertical="center"/>
    </xf>
    <xf numFmtId="0" fontId="3" fillId="24" borderId="15" xfId="0" applyNumberFormat="1" applyFont="1" applyFill="1" applyBorder="1" applyAlignment="1">
      <alignment horizontal="left" vertical="center"/>
    </xf>
    <xf numFmtId="0" fontId="0" fillId="24" borderId="15" xfId="0" applyNumberFormat="1" applyFont="1" applyFill="1" applyBorder="1" applyAlignment="1">
      <alignment/>
    </xf>
    <xf numFmtId="0" fontId="0" fillId="24" borderId="15" xfId="0" applyNumberFormat="1" applyFont="1" applyFill="1" applyBorder="1" applyAlignment="1" applyProtection="1">
      <alignment/>
      <protection/>
    </xf>
    <xf numFmtId="0" fontId="0" fillId="24" borderId="22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3" fillId="24" borderId="12" xfId="0" applyNumberFormat="1" applyFont="1" applyFill="1" applyBorder="1" applyAlignment="1" quotePrefix="1">
      <alignment/>
    </xf>
    <xf numFmtId="0" fontId="3" fillId="24" borderId="15" xfId="0" applyNumberFormat="1" applyFont="1" applyFill="1" applyBorder="1" applyAlignment="1" quotePrefix="1">
      <alignment/>
    </xf>
    <xf numFmtId="0" fontId="0" fillId="24" borderId="12" xfId="0" applyNumberFormat="1" applyFont="1" applyFill="1" applyBorder="1" applyAlignment="1">
      <alignment/>
    </xf>
    <xf numFmtId="0" fontId="0" fillId="14" borderId="21" xfId="0" applyFont="1" applyFill="1" applyBorder="1" applyAlignment="1">
      <alignment/>
    </xf>
    <xf numFmtId="0" fontId="0" fillId="14" borderId="18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6" fillId="14" borderId="10" xfId="0" applyFont="1" applyFill="1" applyBorder="1" applyAlignment="1">
      <alignment/>
    </xf>
    <xf numFmtId="0" fontId="0" fillId="14" borderId="20" xfId="0" applyFont="1" applyFill="1" applyBorder="1" applyAlignment="1">
      <alignment/>
    </xf>
    <xf numFmtId="0" fontId="6" fillId="48" borderId="18" xfId="0" applyFont="1" applyFill="1" applyBorder="1" applyAlignment="1">
      <alignment/>
    </xf>
    <xf numFmtId="0" fontId="0" fillId="48" borderId="24" xfId="0" applyFont="1" applyFill="1" applyBorder="1" applyAlignment="1">
      <alignment/>
    </xf>
    <xf numFmtId="0" fontId="3" fillId="48" borderId="12" xfId="0" applyNumberFormat="1" applyFont="1" applyFill="1" applyBorder="1" applyAlignment="1" quotePrefix="1">
      <alignment/>
    </xf>
    <xf numFmtId="0" fontId="3" fillId="48" borderId="15" xfId="0" applyNumberFormat="1" applyFont="1" applyFill="1" applyBorder="1" applyAlignment="1" quotePrefix="1">
      <alignment/>
    </xf>
    <xf numFmtId="0" fontId="6" fillId="14" borderId="18" xfId="0" applyFont="1" applyFill="1" applyBorder="1" applyAlignment="1">
      <alignment/>
    </xf>
    <xf numFmtId="0" fontId="0" fillId="14" borderId="24" xfId="0" applyFont="1" applyFill="1" applyBorder="1" applyAlignment="1">
      <alignment/>
    </xf>
    <xf numFmtId="0" fontId="3" fillId="14" borderId="12" xfId="0" applyNumberFormat="1" applyFont="1" applyFill="1" applyBorder="1" applyAlignment="1" quotePrefix="1">
      <alignment/>
    </xf>
    <xf numFmtId="0" fontId="3" fillId="14" borderId="15" xfId="0" applyNumberFormat="1" applyFont="1" applyFill="1" applyBorder="1" applyAlignment="1" quotePrefix="1">
      <alignment/>
    </xf>
    <xf numFmtId="0" fontId="0" fillId="14" borderId="12" xfId="0" applyNumberFormat="1" applyFont="1" applyFill="1" applyBorder="1" applyAlignment="1">
      <alignment/>
    </xf>
    <xf numFmtId="0" fontId="3" fillId="47" borderId="11" xfId="0" applyNumberFormat="1" applyFont="1" applyFill="1" applyBorder="1" applyAlignment="1">
      <alignment horizontal="left" vertical="center"/>
    </xf>
    <xf numFmtId="0" fontId="3" fillId="47" borderId="15" xfId="0" applyNumberFormat="1" applyFont="1" applyFill="1" applyBorder="1" applyAlignment="1">
      <alignment horizontal="left" vertical="center"/>
    </xf>
    <xf numFmtId="0" fontId="0" fillId="47" borderId="15" xfId="0" applyNumberFormat="1" applyFont="1" applyFill="1" applyBorder="1" applyAlignment="1">
      <alignment/>
    </xf>
    <xf numFmtId="0" fontId="0" fillId="47" borderId="15" xfId="0" applyNumberFormat="1" applyFont="1" applyFill="1" applyBorder="1" applyAlignment="1" applyProtection="1">
      <alignment/>
      <protection/>
    </xf>
    <xf numFmtId="0" fontId="0" fillId="47" borderId="22" xfId="0" applyFont="1" applyFill="1" applyBorder="1" applyAlignment="1">
      <alignment/>
    </xf>
    <xf numFmtId="0" fontId="6" fillId="47" borderId="18" xfId="0" applyFont="1" applyFill="1" applyBorder="1" applyAlignment="1">
      <alignment/>
    </xf>
    <xf numFmtId="0" fontId="0" fillId="47" borderId="24" xfId="0" applyFont="1" applyFill="1" applyBorder="1" applyAlignment="1">
      <alignment/>
    </xf>
    <xf numFmtId="0" fontId="3" fillId="47" borderId="12" xfId="0" applyNumberFormat="1" applyFont="1" applyFill="1" applyBorder="1" applyAlignment="1" quotePrefix="1">
      <alignment/>
    </xf>
    <xf numFmtId="0" fontId="3" fillId="47" borderId="15" xfId="0" applyNumberFormat="1" applyFont="1" applyFill="1" applyBorder="1" applyAlignment="1" quotePrefix="1">
      <alignment/>
    </xf>
    <xf numFmtId="0" fontId="0" fillId="47" borderId="12" xfId="0" applyNumberFormat="1" applyFont="1" applyFill="1" applyBorder="1" applyAlignment="1">
      <alignment/>
    </xf>
    <xf numFmtId="180" fontId="8" fillId="39" borderId="16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Border="1" applyAlignment="1">
      <alignment/>
    </xf>
    <xf numFmtId="0" fontId="8" fillId="33" borderId="25" xfId="66" applyNumberFormat="1" applyFont="1" applyFill="1" applyBorder="1" applyProtection="1">
      <alignment vertical="center"/>
      <protection/>
    </xf>
    <xf numFmtId="0" fontId="8" fillId="33" borderId="25" xfId="0" applyNumberFormat="1" applyFont="1" applyFill="1" applyBorder="1" applyAlignment="1" applyProtection="1">
      <alignment vertical="center"/>
      <protection/>
    </xf>
    <xf numFmtId="180" fontId="0" fillId="34" borderId="13" xfId="0" applyNumberFormat="1" applyFont="1" applyFill="1" applyBorder="1" applyAlignment="1" applyProtection="1">
      <alignment horizontal="center"/>
      <protection locked="0"/>
    </xf>
    <xf numFmtId="180" fontId="6" fillId="35" borderId="26" xfId="0" applyNumberFormat="1" applyFont="1" applyFill="1" applyBorder="1" applyAlignment="1">
      <alignment horizontal="right"/>
    </xf>
    <xf numFmtId="181" fontId="6" fillId="33" borderId="27" xfId="0" applyNumberFormat="1" applyFont="1" applyFill="1" applyBorder="1" applyAlignment="1">
      <alignment horizontal="right"/>
    </xf>
    <xf numFmtId="181" fontId="0" fillId="33" borderId="16" xfId="0" applyNumberFormat="1" applyFont="1" applyFill="1" applyBorder="1" applyAlignment="1">
      <alignment horizontal="right"/>
    </xf>
    <xf numFmtId="0" fontId="3" fillId="36" borderId="0" xfId="0" applyNumberFormat="1" applyFont="1" applyFill="1" applyBorder="1" applyAlignment="1">
      <alignment horizontal="left" vertical="center"/>
    </xf>
    <xf numFmtId="0" fontId="3" fillId="45" borderId="11" xfId="0" applyNumberFormat="1" applyFont="1" applyFill="1" applyBorder="1" applyAlignment="1" quotePrefix="1">
      <alignment/>
    </xf>
    <xf numFmtId="0" fontId="0" fillId="45" borderId="11" xfId="0" applyNumberFormat="1" applyFont="1" applyFill="1" applyBorder="1" applyAlignment="1">
      <alignment/>
    </xf>
    <xf numFmtId="0" fontId="0" fillId="45" borderId="11" xfId="0" applyNumberFormat="1" applyFont="1" applyFill="1" applyBorder="1" applyAlignment="1" applyProtection="1">
      <alignment/>
      <protection/>
    </xf>
    <xf numFmtId="0" fontId="13" fillId="45" borderId="15" xfId="0" applyNumberFormat="1" applyFont="1" applyFill="1" applyBorder="1" applyAlignment="1">
      <alignment horizontal="left" vertical="center"/>
    </xf>
    <xf numFmtId="0" fontId="13" fillId="44" borderId="15" xfId="0" applyNumberFormat="1" applyFont="1" applyFill="1" applyBorder="1" applyAlignment="1">
      <alignment horizontal="left" vertical="center"/>
    </xf>
    <xf numFmtId="0" fontId="3" fillId="44" borderId="0" xfId="0" applyNumberFormat="1" applyFont="1" applyFill="1" applyBorder="1" applyAlignment="1">
      <alignment horizontal="left" vertical="center"/>
    </xf>
    <xf numFmtId="0" fontId="3" fillId="44" borderId="12" xfId="0" applyNumberFormat="1" applyFont="1" applyFill="1" applyBorder="1" applyAlignment="1">
      <alignment horizontal="left" vertical="center"/>
    </xf>
    <xf numFmtId="0" fontId="0" fillId="44" borderId="12" xfId="0" applyNumberFormat="1" applyFont="1" applyFill="1" applyBorder="1" applyAlignment="1" applyProtection="1">
      <alignment/>
      <protection/>
    </xf>
    <xf numFmtId="0" fontId="3" fillId="44" borderId="11" xfId="0" applyNumberFormat="1" applyFont="1" applyFill="1" applyBorder="1" applyAlignment="1" quotePrefix="1">
      <alignment/>
    </xf>
    <xf numFmtId="0" fontId="0" fillId="44" borderId="11" xfId="0" applyNumberFormat="1" applyFont="1" applyFill="1" applyBorder="1" applyAlignment="1">
      <alignment/>
    </xf>
    <xf numFmtId="0" fontId="0" fillId="44" borderId="11" xfId="0" applyNumberFormat="1" applyFont="1" applyFill="1" applyBorder="1" applyAlignment="1" applyProtection="1">
      <alignment/>
      <protection/>
    </xf>
    <xf numFmtId="0" fontId="0" fillId="44" borderId="0" xfId="0" applyNumberFormat="1" applyFont="1" applyFill="1" applyBorder="1" applyAlignment="1">
      <alignment/>
    </xf>
    <xf numFmtId="0" fontId="3" fillId="24" borderId="0" xfId="0" applyNumberFormat="1" applyFont="1" applyFill="1" applyBorder="1" applyAlignment="1">
      <alignment horizontal="left" vertical="center"/>
    </xf>
    <xf numFmtId="0" fontId="3" fillId="24" borderId="12" xfId="0" applyNumberFormat="1" applyFont="1" applyFill="1" applyBorder="1" applyAlignment="1">
      <alignment horizontal="left" vertical="center"/>
    </xf>
    <xf numFmtId="0" fontId="0" fillId="24" borderId="12" xfId="0" applyNumberFormat="1" applyFont="1" applyFill="1" applyBorder="1" applyAlignment="1" applyProtection="1">
      <alignment/>
      <protection/>
    </xf>
    <xf numFmtId="0" fontId="3" fillId="18" borderId="0" xfId="0" applyNumberFormat="1" applyFont="1" applyFill="1" applyBorder="1" applyAlignment="1">
      <alignment horizontal="left" vertical="center"/>
    </xf>
    <xf numFmtId="0" fontId="3" fillId="24" borderId="0" xfId="0" applyNumberFormat="1" applyFont="1" applyFill="1" applyBorder="1" applyAlignment="1" quotePrefix="1">
      <alignment/>
    </xf>
    <xf numFmtId="0" fontId="3" fillId="24" borderId="11" xfId="0" applyNumberFormat="1" applyFont="1" applyFill="1" applyBorder="1" applyAlignment="1" quotePrefix="1">
      <alignment/>
    </xf>
    <xf numFmtId="0" fontId="0" fillId="24" borderId="11" xfId="0" applyNumberFormat="1" applyFont="1" applyFill="1" applyBorder="1" applyAlignment="1">
      <alignment/>
    </xf>
    <xf numFmtId="0" fontId="0" fillId="24" borderId="11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3" fillId="18" borderId="0" xfId="0" applyNumberFormat="1" applyFont="1" applyFill="1" applyBorder="1" applyAlignment="1" quotePrefix="1">
      <alignment/>
    </xf>
    <xf numFmtId="0" fontId="0" fillId="18" borderId="0" xfId="0" applyNumberFormat="1" applyFont="1" applyFill="1" applyBorder="1" applyAlignment="1">
      <alignment/>
    </xf>
    <xf numFmtId="181" fontId="0" fillId="33" borderId="27" xfId="0" applyNumberFormat="1" applyFont="1" applyFill="1" applyBorder="1" applyAlignment="1">
      <alignment horizontal="right"/>
    </xf>
    <xf numFmtId="0" fontId="13" fillId="24" borderId="15" xfId="0" applyNumberFormat="1" applyFont="1" applyFill="1" applyBorder="1" applyAlignment="1">
      <alignment horizontal="left" vertical="center"/>
    </xf>
    <xf numFmtId="0" fontId="13" fillId="48" borderId="15" xfId="0" applyNumberFormat="1" applyFont="1" applyFill="1" applyBorder="1" applyAlignment="1">
      <alignment horizontal="left" vertical="center"/>
    </xf>
    <xf numFmtId="0" fontId="13" fillId="14" borderId="15" xfId="0" applyNumberFormat="1" applyFont="1" applyFill="1" applyBorder="1" applyAlignment="1">
      <alignment horizontal="left" vertical="center"/>
    </xf>
    <xf numFmtId="0" fontId="13" fillId="47" borderId="15" xfId="0" applyNumberFormat="1" applyFont="1" applyFill="1" applyBorder="1" applyAlignment="1">
      <alignment horizontal="left" vertical="center"/>
    </xf>
    <xf numFmtId="0" fontId="13" fillId="49" borderId="15" xfId="0" applyNumberFormat="1" applyFont="1" applyFill="1" applyBorder="1" applyAlignment="1">
      <alignment horizontal="left" vertical="center"/>
    </xf>
    <xf numFmtId="0" fontId="13" fillId="50" borderId="15" xfId="0" applyNumberFormat="1" applyFont="1" applyFill="1" applyBorder="1" applyAlignment="1">
      <alignment horizontal="left" vertical="center"/>
    </xf>
    <xf numFmtId="0" fontId="13" fillId="46" borderId="15" xfId="0" applyNumberFormat="1" applyFont="1" applyFill="1" applyBorder="1" applyAlignment="1">
      <alignment horizontal="left" vertical="center"/>
    </xf>
    <xf numFmtId="0" fontId="13" fillId="40" borderId="15" xfId="0" applyNumberFormat="1" applyFont="1" applyFill="1" applyBorder="1" applyAlignment="1">
      <alignment horizontal="left" vertical="center"/>
    </xf>
    <xf numFmtId="0" fontId="3" fillId="40" borderId="0" xfId="0" applyNumberFormat="1" applyFont="1" applyFill="1" applyBorder="1" applyAlignment="1">
      <alignment horizontal="center" vertical="center"/>
    </xf>
    <xf numFmtId="181" fontId="0" fillId="34" borderId="16" xfId="66" applyNumberFormat="1" applyFont="1" applyFill="1" applyBorder="1" applyAlignment="1">
      <alignment horizontal="right"/>
      <protection/>
    </xf>
    <xf numFmtId="180" fontId="8" fillId="39" borderId="14" xfId="0" applyNumberFormat="1" applyFont="1" applyFill="1" applyBorder="1" applyAlignment="1" applyProtection="1">
      <alignment horizontal="right"/>
      <protection/>
    </xf>
    <xf numFmtId="180" fontId="8" fillId="39" borderId="14" xfId="0" applyNumberFormat="1" applyFont="1" applyFill="1" applyBorder="1" applyAlignment="1" applyProtection="1">
      <alignment horizontal="right"/>
      <protection locked="0"/>
    </xf>
    <xf numFmtId="0" fontId="0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 horizontal="right"/>
    </xf>
    <xf numFmtId="180" fontId="6" fillId="34" borderId="14" xfId="0" applyNumberFormat="1" applyFont="1" applyFill="1" applyBorder="1" applyAlignment="1" applyProtection="1">
      <alignment horizontal="right"/>
      <protection/>
    </xf>
    <xf numFmtId="0" fontId="6" fillId="24" borderId="0" xfId="0" applyNumberFormat="1" applyFont="1" applyFill="1" applyBorder="1" applyAlignment="1">
      <alignment horizontal="left" vertical="center"/>
    </xf>
    <xf numFmtId="180" fontId="0" fillId="33" borderId="18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Alignment="1">
      <alignment horizontal="left"/>
    </xf>
    <xf numFmtId="180" fontId="0" fillId="34" borderId="0" xfId="0" applyNumberFormat="1" applyFill="1" applyAlignment="1">
      <alignment/>
    </xf>
    <xf numFmtId="0" fontId="3" fillId="39" borderId="19" xfId="0" applyNumberFormat="1" applyFont="1" applyFill="1" applyBorder="1" applyAlignment="1">
      <alignment horizontal="center"/>
    </xf>
    <xf numFmtId="0" fontId="57" fillId="34" borderId="0" xfId="0" applyFont="1" applyFill="1" applyAlignment="1">
      <alignment/>
    </xf>
    <xf numFmtId="0" fontId="0" fillId="43" borderId="14" xfId="0" applyNumberFormat="1" applyFont="1" applyFill="1" applyBorder="1" applyAlignment="1">
      <alignment horizontal="left" indent="1"/>
    </xf>
    <xf numFmtId="181" fontId="0" fillId="34" borderId="0" xfId="0" applyNumberFormat="1" applyFont="1" applyFill="1" applyAlignment="1">
      <alignment/>
    </xf>
    <xf numFmtId="0" fontId="0" fillId="34" borderId="16" xfId="0" applyNumberFormat="1" applyFont="1" applyFill="1" applyBorder="1" applyAlignment="1">
      <alignment horizontal="left"/>
    </xf>
    <xf numFmtId="0" fontId="10" fillId="39" borderId="17" xfId="0" applyNumberFormat="1" applyFont="1" applyFill="1" applyBorder="1" applyAlignment="1">
      <alignment horizontal="center" vertical="center" wrapText="1"/>
    </xf>
    <xf numFmtId="0" fontId="10" fillId="39" borderId="16" xfId="0" applyNumberFormat="1" applyFont="1" applyFill="1" applyBorder="1" applyAlignment="1">
      <alignment horizontal="center" vertical="center" wrapText="1"/>
    </xf>
    <xf numFmtId="0" fontId="3" fillId="36" borderId="17" xfId="0" applyNumberFormat="1" applyFont="1" applyFill="1" applyBorder="1" applyAlignment="1">
      <alignment horizontal="center" vertical="center" wrapText="1"/>
    </xf>
    <xf numFmtId="0" fontId="3" fillId="36" borderId="16" xfId="0" applyNumberFormat="1" applyFont="1" applyFill="1" applyBorder="1" applyAlignment="1">
      <alignment horizontal="center" vertical="center" wrapText="1"/>
    </xf>
    <xf numFmtId="0" fontId="3" fillId="38" borderId="17" xfId="0" applyNumberFormat="1" applyFont="1" applyFill="1" applyBorder="1" applyAlignment="1">
      <alignment horizontal="center" vertical="center" wrapText="1"/>
    </xf>
    <xf numFmtId="0" fontId="3" fillId="38" borderId="16" xfId="0" applyNumberFormat="1" applyFont="1" applyFill="1" applyBorder="1" applyAlignment="1">
      <alignment horizontal="center" vertical="center" wrapText="1"/>
    </xf>
    <xf numFmtId="0" fontId="10" fillId="41" borderId="17" xfId="0" applyNumberFormat="1" applyFont="1" applyFill="1" applyBorder="1" applyAlignment="1">
      <alignment horizontal="center" vertical="center" wrapText="1"/>
    </xf>
    <xf numFmtId="0" fontId="10" fillId="41" borderId="16" xfId="0" applyNumberFormat="1" applyFont="1" applyFill="1" applyBorder="1" applyAlignment="1">
      <alignment horizontal="center" vertical="center" wrapText="1"/>
    </xf>
    <xf numFmtId="0" fontId="3" fillId="37" borderId="17" xfId="0" applyNumberFormat="1" applyFont="1" applyFill="1" applyBorder="1" applyAlignment="1">
      <alignment horizontal="center" vertical="center" wrapText="1"/>
    </xf>
    <xf numFmtId="0" fontId="3" fillId="37" borderId="16" xfId="0" applyNumberFormat="1" applyFont="1" applyFill="1" applyBorder="1" applyAlignment="1">
      <alignment horizontal="center" vertical="center" wrapText="1"/>
    </xf>
    <xf numFmtId="0" fontId="3" fillId="41" borderId="17" xfId="0" applyNumberFormat="1" applyFont="1" applyFill="1" applyBorder="1" applyAlignment="1">
      <alignment horizontal="center" vertical="center" wrapText="1"/>
    </xf>
    <xf numFmtId="0" fontId="3" fillId="41" borderId="16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ing" xfId="39"/>
    <cellStyle name="Accounting 2" xfId="40"/>
    <cellStyle name="Accounting 2 2" xfId="41"/>
    <cellStyle name="Bad" xfId="42"/>
    <cellStyle name="Calculation" xfId="43"/>
    <cellStyle name="Check Cell" xfId="44"/>
    <cellStyle name="Comma" xfId="45"/>
    <cellStyle name="Comma [0]" xfId="46"/>
    <cellStyle name="Comma 2" xfId="47"/>
    <cellStyle name="Comma 3" xfId="48"/>
    <cellStyle name="Comma 3 2" xfId="49"/>
    <cellStyle name="Currency" xfId="50"/>
    <cellStyle name="Currency [0]" xfId="51"/>
    <cellStyle name="Currency 2" xfId="52"/>
    <cellStyle name="Currency 3" xfId="53"/>
    <cellStyle name="Currency 3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7 2" xfId="67"/>
    <cellStyle name="Note" xfId="68"/>
    <cellStyle name="Output" xfId="69"/>
    <cellStyle name="Percent" xfId="70"/>
    <cellStyle name="Percent 2" xfId="71"/>
    <cellStyle name="Percent 3" xfId="72"/>
    <cellStyle name="Percent 3 2" xfId="73"/>
    <cellStyle name="Style 1" xfId="74"/>
    <cellStyle name="Title" xfId="75"/>
    <cellStyle name="Total" xfId="76"/>
    <cellStyle name="Warning Text" xfId="77"/>
  </cellStyles>
  <dxfs count="279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898B3"/>
      <rgbColor rgb="00CCFFFF"/>
      <rgbColor rgb="00CCFFCC"/>
      <rgbColor rgb="00FFFF99"/>
      <rgbColor rgb="00B2C2D1"/>
      <rgbColor rgb="00C23841"/>
      <rgbColor rgb="00DDDDDD"/>
      <rgbColor rgb="00FFCC99"/>
      <rgbColor rgb="003366FF"/>
      <rgbColor rgb="0033CCCC"/>
      <rgbColor rgb="0099CC00"/>
      <rgbColor rgb="00FFCC00"/>
      <rgbColor rgb="00FF9900"/>
      <rgbColor rgb="00ED8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19</xdr:col>
      <xdr:colOff>0</xdr:colOff>
      <xdr:row>3</xdr:row>
      <xdr:rowOff>0</xdr:rowOff>
    </xdr:to>
    <xdr:sp macro="[0]!RELINK">
      <xdr:nvSpPr>
        <xdr:cNvPr id="1" name="Rectangle 7"/>
        <xdr:cNvSpPr>
          <a:spLocks/>
        </xdr:cNvSpPr>
      </xdr:nvSpPr>
      <xdr:spPr>
        <a:xfrm>
          <a:off x="14620875" y="171450"/>
          <a:ext cx="3686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\Consensus\0%20Setup%20&amp;%20Instructions\CREDIT%20SUISSE%20ANALYST%20CONSENSUS%20-%20LINK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  <sheetDataSet>
      <sheetData sheetId="0">
        <row r="1">
          <cell r="B1" t="str">
            <v>Credit Suisse Analyst Consensus: Link Sheet</v>
          </cell>
          <cell r="E1" t="str">
            <v>Q+1</v>
          </cell>
          <cell r="G1" t="str">
            <v>Y+1</v>
          </cell>
          <cell r="H1" t="str">
            <v>Y+2</v>
          </cell>
          <cell r="I1" t="str">
            <v>Y+3</v>
          </cell>
          <cell r="K1" t="str">
            <v>Row Identifiers</v>
          </cell>
          <cell r="M1" t="str">
            <v>Data Validation</v>
          </cell>
        </row>
        <row r="2">
          <cell r="K2" t="str">
            <v>Time Periods</v>
          </cell>
          <cell r="M2" t="str">
            <v>Period</v>
          </cell>
        </row>
        <row r="5">
          <cell r="C5" t="str">
            <v>Instructions</v>
          </cell>
        </row>
        <row r="6">
          <cell r="C6" t="str">
            <v>Thank you for contributing to the Credit Suisse Analyst Consensus. Please read the following instructions before filling in this sheet:</v>
          </cell>
        </row>
        <row r="8">
          <cell r="C8" t="str">
            <v>•  Please do not insert any rows or columns or change any row or column labels.</v>
          </cell>
        </row>
        <row r="9">
          <cell r="C9" t="str">
            <v>•  Please do not change the format of the data cells by copying or dragging cells.</v>
          </cell>
        </row>
        <row r="11">
          <cell r="C11" t="str">
            <v>•  Please provide data for all four periods. If this is not possible, please specify for which periods you do not contribute any data.</v>
          </cell>
        </row>
        <row r="12">
          <cell r="C12" t="str">
            <v>•  Please fill in ALL required fields (there should be no red cells left on the sheet).</v>
          </cell>
        </row>
        <row r="13">
          <cell r="C13" t="str">
            <v>•  If you do not forecast a specific item, please fill in the fields with your best guess estimate.</v>
          </cell>
        </row>
        <row r="14">
          <cell r="C14" t="str">
            <v>•  For example, if you do not forecast Equity and Debt Underwriting separately, you could split your total Underwriting estimate according to the split in the prior quarter / year.</v>
          </cell>
        </row>
        <row r="16">
          <cell r="C16" t="str">
            <v>•  To roll your estimates forward, please refer to the Setup Instructions.</v>
          </cell>
        </row>
        <row r="18">
          <cell r="C18" t="str">
            <v>If there are any questions, please do not hesitate to contact us.</v>
          </cell>
        </row>
        <row r="21">
          <cell r="C21" t="str">
            <v>Data provided?</v>
          </cell>
          <cell r="E21" t="str">
            <v>Yes</v>
          </cell>
          <cell r="G21" t="str">
            <v>Yes</v>
          </cell>
          <cell r="H21" t="str">
            <v>Yes</v>
          </cell>
          <cell r="I21" t="str">
            <v>Yes</v>
          </cell>
          <cell r="K21" t="str">
            <v>Data provided?</v>
          </cell>
          <cell r="M21" t="str">
            <v>Yes / No</v>
          </cell>
        </row>
        <row r="23">
          <cell r="C23" t="str">
            <v>• • Swiss Universal Bank</v>
          </cell>
        </row>
        <row r="25">
          <cell r="C25" t="str">
            <v>Capital and Leverage metrics</v>
          </cell>
        </row>
        <row r="26">
          <cell r="C26" t="str">
            <v>Risk-weighted assets – look-through (CHF million)</v>
          </cell>
          <cell r="K26" t="str">
            <v>SUBTOTAL – Assets under management – Risk-weighted assets – look-through (CHF million)</v>
          </cell>
          <cell r="M26" t="str">
            <v>Number</v>
          </cell>
        </row>
        <row r="27">
          <cell r="C27" t="str">
            <v>Leverage exposure – look-through (CHF million)</v>
          </cell>
          <cell r="K27" t="str">
            <v>SUBTOTAL – Assets under management – Leverage exposure – look-through (CHF million)</v>
          </cell>
          <cell r="M27" t="str">
            <v>Positive Number</v>
          </cell>
        </row>
        <row r="29">
          <cell r="C29" t="str">
            <v>• • • Swiss Universal Bank - Private Clients</v>
          </cell>
        </row>
        <row r="31">
          <cell r="C31" t="str">
            <v>Income statement (CHF million)</v>
          </cell>
        </row>
        <row r="32">
          <cell r="C32" t="str">
            <v>Net interest income</v>
          </cell>
          <cell r="K32" t="str">
            <v>SUBPC – Income statement – Net interest income</v>
          </cell>
          <cell r="M32" t="str">
            <v>Positive Number</v>
          </cell>
        </row>
        <row r="33">
          <cell r="C33" t="str">
            <v>Recurring commissions and fees</v>
          </cell>
          <cell r="K33" t="str">
            <v>SUBPC – Income statement – Recurring commissions and fees</v>
          </cell>
          <cell r="M33" t="str">
            <v>Positive Number</v>
          </cell>
        </row>
        <row r="34">
          <cell r="C34" t="str">
            <v>Transaction and performance-based revenues</v>
          </cell>
          <cell r="K34" t="str">
            <v>SUBPC – Income statement – Transaction and performance-based revenues</v>
          </cell>
          <cell r="M34" t="str">
            <v>Positive Number</v>
          </cell>
        </row>
        <row r="35">
          <cell r="C35" t="str">
            <v>Other revenues</v>
          </cell>
          <cell r="K35" t="str">
            <v>SUBPC – Income statement – Other revenues</v>
          </cell>
          <cell r="M35" t="str">
            <v>Positive Number</v>
          </cell>
        </row>
        <row r="36">
          <cell r="C36" t="str">
            <v>Net revenues</v>
          </cell>
          <cell r="K36" t="str">
            <v>SUBPC – Income statement – Net revenues</v>
          </cell>
          <cell r="M36" t="str">
            <v>Positive Number</v>
          </cell>
        </row>
        <row r="38">
          <cell r="C38" t="str">
            <v>Provision for credit losses</v>
          </cell>
          <cell r="K38" t="str">
            <v>SUBPC – Income statement – Provision for credit losses</v>
          </cell>
          <cell r="M38" t="str">
            <v>Number</v>
          </cell>
        </row>
        <row r="40">
          <cell r="C40" t="str">
            <v>Compensation and benefits</v>
          </cell>
          <cell r="K40" t="str">
            <v>SUBPC – Income statement – Compensation and benefits</v>
          </cell>
          <cell r="M40" t="str">
            <v>Positive Number</v>
          </cell>
        </row>
        <row r="41">
          <cell r="C41" t="str">
            <v>Total other operating expenses</v>
          </cell>
          <cell r="K41" t="str">
            <v>SUBPC – Income statement – Total other operating expenses</v>
          </cell>
          <cell r="M41" t="str">
            <v>Positive Number</v>
          </cell>
        </row>
        <row r="42">
          <cell r="C42" t="str">
            <v>Total operating expenses</v>
          </cell>
          <cell r="K42" t="str">
            <v>SUBPC – Income statement – Total operating expenses</v>
          </cell>
          <cell r="M42" t="str">
            <v>Positive Number</v>
          </cell>
        </row>
        <row r="44">
          <cell r="C44" t="str">
            <v>Assets under management (CHF billion)</v>
          </cell>
        </row>
        <row r="45">
          <cell r="C45" t="str">
            <v>Net new assets</v>
          </cell>
          <cell r="K45" t="str">
            <v>SUBPC – Assets under management – Net new assets</v>
          </cell>
          <cell r="M45" t="str">
            <v>Number</v>
          </cell>
        </row>
        <row r="46">
          <cell r="C46" t="str">
            <v>Assets under management (end of period)</v>
          </cell>
          <cell r="K46" t="str">
            <v>SUBPC – Assets under management – Assets under management (end of period)</v>
          </cell>
          <cell r="M46" t="str">
            <v>Positive Number</v>
          </cell>
        </row>
        <row r="48">
          <cell r="C48" t="str">
            <v>• • • Swiss Universal Bank - Corporate &amp; Institutional Clients</v>
          </cell>
        </row>
        <row r="50">
          <cell r="C50" t="str">
            <v>Income statement (CHF million)</v>
          </cell>
        </row>
        <row r="51">
          <cell r="C51" t="str">
            <v>Net interest income</v>
          </cell>
          <cell r="K51" t="str">
            <v>SUBCIC – Income statement – Net interest income</v>
          </cell>
          <cell r="M51" t="str">
            <v>Positive Number</v>
          </cell>
        </row>
        <row r="52">
          <cell r="C52" t="str">
            <v>Recurring commissions and fees</v>
          </cell>
          <cell r="K52" t="str">
            <v>SUBCIC – Income statement – Recurring commissions and fees</v>
          </cell>
          <cell r="M52" t="str">
            <v>Positive Number</v>
          </cell>
        </row>
        <row r="53">
          <cell r="C53" t="str">
            <v>Transaction and performance-based revenues</v>
          </cell>
          <cell r="K53" t="str">
            <v>SUBCIC – Income statement – Transaction and performance-based revenues</v>
          </cell>
          <cell r="M53" t="str">
            <v>Positive Number</v>
          </cell>
        </row>
        <row r="54">
          <cell r="C54" t="str">
            <v>Other revenues</v>
          </cell>
          <cell r="K54" t="str">
            <v>SUBCIC – Income statement – Other revenues</v>
          </cell>
          <cell r="M54" t="str">
            <v>Positive Number</v>
          </cell>
        </row>
        <row r="55">
          <cell r="C55" t="str">
            <v>Net revenues</v>
          </cell>
          <cell r="K55" t="str">
            <v>SUBCIC – Income statement – Net revenues</v>
          </cell>
          <cell r="M55" t="str">
            <v>Positive Number</v>
          </cell>
        </row>
        <row r="57">
          <cell r="C57" t="str">
            <v>Provision for credit losses</v>
          </cell>
          <cell r="K57" t="str">
            <v>SUBCIC – Income statement – Provision for credit losses</v>
          </cell>
          <cell r="M57" t="str">
            <v>Number</v>
          </cell>
        </row>
        <row r="59">
          <cell r="C59" t="str">
            <v>Compensation and benefits</v>
          </cell>
          <cell r="K59" t="str">
            <v>SUBCIC – Income statement – Compensation and benefits</v>
          </cell>
          <cell r="M59" t="str">
            <v>Positive Number</v>
          </cell>
        </row>
        <row r="60">
          <cell r="C60" t="str">
            <v>Total other operating expenses</v>
          </cell>
          <cell r="K60" t="str">
            <v>SUBCIC – Income statement – Total other operating expenses</v>
          </cell>
          <cell r="M60" t="str">
            <v>Positive Number</v>
          </cell>
        </row>
        <row r="61">
          <cell r="C61" t="str">
            <v>Total operating expenses</v>
          </cell>
          <cell r="K61" t="str">
            <v>SUBCIC – Income statement – Total operating expenses</v>
          </cell>
          <cell r="M61" t="str">
            <v>Positive Number</v>
          </cell>
        </row>
        <row r="63">
          <cell r="C63" t="str">
            <v>Assets under management (CHF billion)</v>
          </cell>
        </row>
        <row r="64">
          <cell r="C64" t="str">
            <v>Net new assets</v>
          </cell>
          <cell r="K64" t="str">
            <v>SUBCIC – Assets under management – Net new assets</v>
          </cell>
          <cell r="M64" t="str">
            <v>Number</v>
          </cell>
        </row>
        <row r="65">
          <cell r="C65" t="str">
            <v>Assets under management (end of period)</v>
          </cell>
          <cell r="K65" t="str">
            <v>SUBCIC – Assets under management – Assets under management (end of period)</v>
          </cell>
          <cell r="M65" t="str">
            <v>Positive Number</v>
          </cell>
        </row>
        <row r="67">
          <cell r="C67" t="str">
            <v>• • International Wealth Management</v>
          </cell>
        </row>
        <row r="69">
          <cell r="C69" t="str">
            <v>Capital and Leverage metrics</v>
          </cell>
        </row>
        <row r="70">
          <cell r="C70" t="str">
            <v>Risk-weighted assets – look-through (CHF million)</v>
          </cell>
          <cell r="K70" t="str">
            <v>IWMTOTAL – Assets under management – Risk-weighted assets – look-through (CHF million)</v>
          </cell>
          <cell r="M70" t="str">
            <v>Number</v>
          </cell>
        </row>
        <row r="71">
          <cell r="C71" t="str">
            <v>Leverage exposure – look-through (CHF million)</v>
          </cell>
          <cell r="K71" t="str">
            <v>IWMTOTAL – Assets under management – Leverage exposure – look-through (CHF million)</v>
          </cell>
          <cell r="M71" t="str">
            <v>Positive Number</v>
          </cell>
        </row>
        <row r="73">
          <cell r="C73" t="str">
            <v>• • • International Wealth Management - Private Banking</v>
          </cell>
        </row>
        <row r="75">
          <cell r="C75" t="str">
            <v>Income statement (CHF million)</v>
          </cell>
        </row>
        <row r="76">
          <cell r="C76" t="str">
            <v>Net interest income</v>
          </cell>
          <cell r="K76" t="str">
            <v>IWMPB – Income statement – Net interest income</v>
          </cell>
          <cell r="M76" t="str">
            <v>Positive Number</v>
          </cell>
        </row>
        <row r="77">
          <cell r="C77" t="str">
            <v>Recurring commissions and fees</v>
          </cell>
          <cell r="K77" t="str">
            <v>IWMPB – Income statement – Recurring commissions and fees</v>
          </cell>
          <cell r="M77" t="str">
            <v>Positive Number</v>
          </cell>
        </row>
        <row r="78">
          <cell r="C78" t="str">
            <v>Transaction and performance-based revenues</v>
          </cell>
          <cell r="K78" t="str">
            <v>IWMPB – Income statement – Transaction and performance-based revenues</v>
          </cell>
          <cell r="M78" t="str">
            <v>Positive Number</v>
          </cell>
        </row>
        <row r="79">
          <cell r="C79" t="str">
            <v>Other revenues</v>
          </cell>
          <cell r="K79" t="str">
            <v>IWMPB – Income statement – Other revenues</v>
          </cell>
          <cell r="M79" t="str">
            <v>Positive Number</v>
          </cell>
        </row>
        <row r="80">
          <cell r="C80" t="str">
            <v>Net revenues</v>
          </cell>
          <cell r="K80" t="str">
            <v>IWMPB – Income statement – Net revenues</v>
          </cell>
          <cell r="M80" t="str">
            <v>Positive Number</v>
          </cell>
        </row>
        <row r="82">
          <cell r="C82" t="str">
            <v>Provision for credit losses</v>
          </cell>
          <cell r="K82" t="str">
            <v>IWMPB – Income statement – Provision for credit losses</v>
          </cell>
          <cell r="M82" t="str">
            <v>Number</v>
          </cell>
        </row>
        <row r="84">
          <cell r="C84" t="str">
            <v>Compensation and benefits</v>
          </cell>
          <cell r="K84" t="str">
            <v>IWMPB – Income statement – Compensation and benefits</v>
          </cell>
          <cell r="M84" t="str">
            <v>Positive Number</v>
          </cell>
        </row>
        <row r="85">
          <cell r="C85" t="str">
            <v>Total other operating expenses</v>
          </cell>
          <cell r="K85" t="str">
            <v>IWMPB – Income statement – Total other operating expenses</v>
          </cell>
          <cell r="M85" t="str">
            <v>Positive Number</v>
          </cell>
        </row>
        <row r="86">
          <cell r="C86" t="str">
            <v>Total operating expenses</v>
          </cell>
          <cell r="K86" t="str">
            <v>IWMPB – Income statement – Total operating expenses</v>
          </cell>
          <cell r="M86" t="str">
            <v>Positive Number</v>
          </cell>
        </row>
        <row r="88">
          <cell r="C88" t="str">
            <v>Assets under management (CHF billion)</v>
          </cell>
        </row>
        <row r="89">
          <cell r="C89" t="str">
            <v>Net new assets</v>
          </cell>
          <cell r="K89" t="str">
            <v>IWMPB – Assets under management – Net new assets</v>
          </cell>
          <cell r="M89" t="str">
            <v>Number</v>
          </cell>
        </row>
        <row r="90">
          <cell r="C90" t="str">
            <v>Assets under management (end of period)</v>
          </cell>
          <cell r="K90" t="str">
            <v>IWMPB – Assets under management – Assets under management (end of period)</v>
          </cell>
          <cell r="M90" t="str">
            <v>Positive Number</v>
          </cell>
        </row>
        <row r="92">
          <cell r="C92" t="str">
            <v>• • • International Wealth Management - Asset Management</v>
          </cell>
        </row>
        <row r="94">
          <cell r="C94" t="str">
            <v>Income statement (CHF million)</v>
          </cell>
        </row>
        <row r="95">
          <cell r="C95" t="str">
            <v>Management fees</v>
          </cell>
          <cell r="K95" t="str">
            <v>IWMAM – Income statement – Management fees</v>
          </cell>
          <cell r="M95" t="str">
            <v>Positive Number</v>
          </cell>
        </row>
        <row r="96">
          <cell r="C96" t="str">
            <v>Performance and placement revenues</v>
          </cell>
          <cell r="K96" t="str">
            <v>IWMAM – Income statement – Performance and placement revenues</v>
          </cell>
          <cell r="M96" t="str">
            <v>Positive Number</v>
          </cell>
        </row>
        <row r="97">
          <cell r="C97" t="str">
            <v>Investment and partnership income</v>
          </cell>
          <cell r="K97" t="str">
            <v>IWMAM – Income statement – Investment and partnership income</v>
          </cell>
          <cell r="M97" t="str">
            <v>Positive Number</v>
          </cell>
        </row>
        <row r="98">
          <cell r="C98" t="str">
            <v>Net revenues</v>
          </cell>
          <cell r="K98" t="str">
            <v>IWMAM – Income statement – Net revenues</v>
          </cell>
          <cell r="M98" t="str">
            <v>Positive Number</v>
          </cell>
        </row>
        <row r="100">
          <cell r="C100" t="str">
            <v>Provision for credit losses</v>
          </cell>
          <cell r="K100" t="str">
            <v>IWMAM – Income statement – Provision for credit losses</v>
          </cell>
          <cell r="M100" t="str">
            <v>Number</v>
          </cell>
        </row>
        <row r="102">
          <cell r="C102" t="str">
            <v>Compensation and benefits</v>
          </cell>
          <cell r="K102" t="str">
            <v>IWMAM – Income statement – Compensation and benefits</v>
          </cell>
          <cell r="M102" t="str">
            <v>Positive Number</v>
          </cell>
        </row>
        <row r="103">
          <cell r="C103" t="str">
            <v>Total other operating expenses</v>
          </cell>
          <cell r="K103" t="str">
            <v>IWMAM – Income statement – Total other operating expenses</v>
          </cell>
          <cell r="M103" t="str">
            <v>Positive Number</v>
          </cell>
        </row>
        <row r="104">
          <cell r="C104" t="str">
            <v>Total operating expenses</v>
          </cell>
          <cell r="K104" t="str">
            <v>IWMAM – Income statement – Total operating expenses</v>
          </cell>
          <cell r="M104" t="str">
            <v>Positive Number</v>
          </cell>
        </row>
        <row r="106">
          <cell r="C106" t="str">
            <v>Assets under management (CHF billion)</v>
          </cell>
        </row>
        <row r="107">
          <cell r="C107" t="str">
            <v>Net new assets</v>
          </cell>
          <cell r="K107" t="str">
            <v>IWMAM – Assets under management – Net new assets</v>
          </cell>
          <cell r="M107" t="str">
            <v>Number</v>
          </cell>
        </row>
        <row r="108">
          <cell r="C108" t="str">
            <v>Assets under management (end of period)</v>
          </cell>
          <cell r="K108" t="str">
            <v>IWMAM – Assets under management – Assets under management (end of period)</v>
          </cell>
          <cell r="M108" t="str">
            <v>Positive Number</v>
          </cell>
        </row>
        <row r="110">
          <cell r="C110" t="str">
            <v>• • Asia Pacific</v>
          </cell>
        </row>
        <row r="112">
          <cell r="C112" t="str">
            <v>Capital and Leverage metrics</v>
          </cell>
        </row>
        <row r="113">
          <cell r="C113" t="str">
            <v>Risk-weighted assets – look-through (CHF million)</v>
          </cell>
          <cell r="K113" t="str">
            <v>APACTOTAL – Assets under management – Risk-weighted assets – look-through (CHF million)</v>
          </cell>
          <cell r="M113" t="str">
            <v>Number</v>
          </cell>
        </row>
        <row r="114">
          <cell r="C114" t="str">
            <v>Leverage exposure – look-through (CHF million)</v>
          </cell>
          <cell r="K114" t="str">
            <v>APACTOTAL – Assets under management – Leverage exposure – look-through (CHF million)</v>
          </cell>
          <cell r="M114" t="str">
            <v>Positive Number</v>
          </cell>
        </row>
        <row r="116">
          <cell r="C116" t="str">
            <v>• • • Asia Pacific - Wealth Management &amp; Connected</v>
          </cell>
        </row>
        <row r="118">
          <cell r="C118" t="str">
            <v>Income statement (CHF million)</v>
          </cell>
        </row>
        <row r="119">
          <cell r="C119" t="str">
            <v>Net interest income</v>
          </cell>
          <cell r="K119" t="str">
            <v>APACWMC – Income statement – Net interest income</v>
          </cell>
          <cell r="M119" t="str">
            <v>Positive Number</v>
          </cell>
        </row>
        <row r="120">
          <cell r="C120" t="str">
            <v>Recurring commissions and fees</v>
          </cell>
          <cell r="K120" t="str">
            <v>APACWMC – Income statement – Recurring commissions and fees</v>
          </cell>
          <cell r="M120" t="str">
            <v>Positive Number</v>
          </cell>
        </row>
        <row r="121">
          <cell r="C121" t="str">
            <v>Transaction and performance-based revenues</v>
          </cell>
          <cell r="K121" t="str">
            <v>APACWMC – Income statement – Transaction and performance-based revenues</v>
          </cell>
          <cell r="M121" t="str">
            <v>Positive Number</v>
          </cell>
        </row>
        <row r="122">
          <cell r="C122" t="str">
            <v>Other revenues</v>
          </cell>
          <cell r="K122" t="str">
            <v>APACWMC – Income statement – Other revenues</v>
          </cell>
          <cell r="M122" t="str">
            <v>Positive Number</v>
          </cell>
        </row>
        <row r="123">
          <cell r="C123" t="str">
            <v>Advisory, underwriting and financing</v>
          </cell>
          <cell r="K123" t="str">
            <v>APACWMC – Income statement – Advisory, underwriting and financing</v>
          </cell>
          <cell r="M123" t="str">
            <v>Positive Number</v>
          </cell>
        </row>
        <row r="124">
          <cell r="C124" t="str">
            <v>Net revenues</v>
          </cell>
          <cell r="K124" t="str">
            <v>APACWMC – Income statement – Net revenues</v>
          </cell>
          <cell r="M124" t="str">
            <v>Positive Number</v>
          </cell>
        </row>
        <row r="126">
          <cell r="C126" t="str">
            <v>Provision for credit losses</v>
          </cell>
          <cell r="K126" t="str">
            <v>APACWMC – Income statement – Provision for credit losses</v>
          </cell>
          <cell r="M126" t="str">
            <v>Number</v>
          </cell>
        </row>
        <row r="128">
          <cell r="C128" t="str">
            <v>Compensation and benefits</v>
          </cell>
          <cell r="K128" t="str">
            <v>APACWMC – Income statement – Compensation and benefits</v>
          </cell>
          <cell r="M128" t="str">
            <v>Positive Number</v>
          </cell>
        </row>
        <row r="129">
          <cell r="C129" t="str">
            <v>Total other operating expenses</v>
          </cell>
          <cell r="K129" t="str">
            <v>APACWMC – Income statement – Total other operating expenses</v>
          </cell>
          <cell r="M129" t="str">
            <v>Positive Number</v>
          </cell>
        </row>
        <row r="130">
          <cell r="C130" t="str">
            <v>Total operating expenses</v>
          </cell>
          <cell r="K130" t="str">
            <v>APACWMC – Income statement – Total operating expenses</v>
          </cell>
          <cell r="M130" t="str">
            <v>Positive Number</v>
          </cell>
        </row>
        <row r="132">
          <cell r="C132" t="str">
            <v>Assets under management (CHF billion)</v>
          </cell>
        </row>
        <row r="133">
          <cell r="C133" t="str">
            <v>Net new assets</v>
          </cell>
          <cell r="K133" t="str">
            <v>APACWMC – Assets under management – Net new assets</v>
          </cell>
          <cell r="M133" t="str">
            <v>Number</v>
          </cell>
        </row>
        <row r="134">
          <cell r="C134" t="str">
            <v>Assets under management (end of period)</v>
          </cell>
          <cell r="K134" t="str">
            <v>APACWMC – Assets under management – Assets under management (end of period)</v>
          </cell>
          <cell r="M134" t="str">
            <v>Positive Number</v>
          </cell>
        </row>
        <row r="136">
          <cell r="C136" t="str">
            <v>• • • Asia Pacific - Markets</v>
          </cell>
        </row>
        <row r="138">
          <cell r="C138" t="str">
            <v>Income statement (CHF million)</v>
          </cell>
        </row>
        <row r="139">
          <cell r="C139" t="str">
            <v>Fixed income sales and trading</v>
          </cell>
          <cell r="K139" t="str">
            <v>APACM – Income statement – Fixed income sales and trading</v>
          </cell>
          <cell r="M139" t="str">
            <v>Number</v>
          </cell>
        </row>
        <row r="140">
          <cell r="C140" t="str">
            <v>Equity sales and trading</v>
          </cell>
          <cell r="K140" t="str">
            <v>APACM – Income statement – Equity sales and trading</v>
          </cell>
          <cell r="M140" t="str">
            <v>Number</v>
          </cell>
        </row>
        <row r="142">
          <cell r="C142" t="str">
            <v>Provision for credit losses</v>
          </cell>
          <cell r="K142" t="str">
            <v>APACM – Income statement – Provision for credit losses</v>
          </cell>
          <cell r="M142" t="str">
            <v>Number</v>
          </cell>
        </row>
        <row r="144">
          <cell r="C144" t="str">
            <v>Compensation and benefits</v>
          </cell>
          <cell r="K144" t="str">
            <v>APACM – Income statement – Compensation and benefits</v>
          </cell>
          <cell r="M144" t="str">
            <v>Positive Number</v>
          </cell>
        </row>
        <row r="145">
          <cell r="C145" t="str">
            <v>Total other operating expenses</v>
          </cell>
          <cell r="K145" t="str">
            <v>APACM – Income statement – Total other operating expenses</v>
          </cell>
          <cell r="M145" t="str">
            <v>Positive Number</v>
          </cell>
        </row>
        <row r="147">
          <cell r="C147" t="str">
            <v>• • Global Markets</v>
          </cell>
        </row>
        <row r="149">
          <cell r="C149" t="str">
            <v>Income statement (CHF million)</v>
          </cell>
        </row>
        <row r="150">
          <cell r="C150" t="str">
            <v>Fixed income sales and trading</v>
          </cell>
          <cell r="K150" t="str">
            <v>GM – Income statement – Fixed income sales and trading</v>
          </cell>
          <cell r="M150" t="str">
            <v>Number</v>
          </cell>
        </row>
        <row r="151">
          <cell r="C151" t="str">
            <v>Equity sales and trading</v>
          </cell>
          <cell r="K151" t="str">
            <v>GM – Income statement – Equity sales and trading</v>
          </cell>
          <cell r="M151" t="str">
            <v>Number</v>
          </cell>
        </row>
        <row r="152">
          <cell r="C152" t="str">
            <v>Underwriting</v>
          </cell>
          <cell r="K152" t="str">
            <v>GM – Income statement – Underwriting</v>
          </cell>
          <cell r="M152" t="str">
            <v>Number</v>
          </cell>
        </row>
        <row r="153">
          <cell r="C153" t="str">
            <v>Other</v>
          </cell>
          <cell r="K153" t="str">
            <v>GM – Income statement – Other</v>
          </cell>
          <cell r="M153" t="str">
            <v>Number</v>
          </cell>
        </row>
        <row r="155">
          <cell r="C155" t="str">
            <v>Provision for credit losses</v>
          </cell>
          <cell r="K155" t="str">
            <v>GM – Income statement – Provision for credit losses</v>
          </cell>
          <cell r="M155" t="str">
            <v>Number</v>
          </cell>
        </row>
        <row r="157">
          <cell r="C157" t="str">
            <v>Compensation and benefits</v>
          </cell>
          <cell r="K157" t="str">
            <v>GM – Income statement – Compensation and benefits</v>
          </cell>
          <cell r="M157" t="str">
            <v>Positive Number</v>
          </cell>
        </row>
        <row r="158">
          <cell r="C158" t="str">
            <v>Total other operating expenses</v>
          </cell>
          <cell r="K158" t="str">
            <v>GM – Income statement – Total other operating expenses</v>
          </cell>
          <cell r="M158" t="str">
            <v>Positive Number</v>
          </cell>
        </row>
        <row r="160">
          <cell r="C160" t="str">
            <v>Capital and Leverage metrics</v>
          </cell>
        </row>
        <row r="161">
          <cell r="C161" t="str">
            <v>Risk-weighted assets – look-through (CHF million)</v>
          </cell>
          <cell r="K161" t="str">
            <v>GM – Assets under management – Risk-weighted assets – look-through (CHF million)</v>
          </cell>
          <cell r="M161" t="str">
            <v>Number</v>
          </cell>
        </row>
        <row r="162">
          <cell r="C162" t="str">
            <v>Leverage exposure – look-through (CHF million)</v>
          </cell>
          <cell r="K162" t="str">
            <v>GM – Assets under management – Leverage exposure – look-through (CHF million)</v>
          </cell>
          <cell r="M162" t="str">
            <v>Positive Number</v>
          </cell>
        </row>
        <row r="164">
          <cell r="C164" t="str">
            <v>• • Investment Banking &amp; Capital Markets</v>
          </cell>
        </row>
        <row r="166">
          <cell r="C166" t="str">
            <v>Income statement (CHF million)</v>
          </cell>
        </row>
        <row r="167">
          <cell r="C167" t="str">
            <v>Debt underwriting</v>
          </cell>
          <cell r="K167" t="str">
            <v>IBCM – Income statement – Debt underwriting</v>
          </cell>
          <cell r="M167" t="str">
            <v>Number</v>
          </cell>
        </row>
        <row r="168">
          <cell r="C168" t="str">
            <v>Equity underwriting</v>
          </cell>
          <cell r="K168" t="str">
            <v>IBCM – Income statement – Equity underwriting</v>
          </cell>
          <cell r="M168" t="str">
            <v>Number</v>
          </cell>
        </row>
        <row r="169">
          <cell r="C169" t="str">
            <v>Advisory and other fees</v>
          </cell>
          <cell r="K169" t="str">
            <v>IBCM – Income statement – Advisory and other fees</v>
          </cell>
          <cell r="M169" t="str">
            <v>Number</v>
          </cell>
        </row>
        <row r="170">
          <cell r="C170" t="str">
            <v>Other</v>
          </cell>
          <cell r="K170" t="str">
            <v>IBCM – Income statement – Other</v>
          </cell>
          <cell r="M170" t="str">
            <v>Number</v>
          </cell>
        </row>
        <row r="172">
          <cell r="C172" t="str">
            <v>Provision for credit losses</v>
          </cell>
          <cell r="K172" t="str">
            <v>IBCM – Income statement – Provision for credit losses</v>
          </cell>
          <cell r="M172" t="str">
            <v>Number</v>
          </cell>
        </row>
        <row r="174">
          <cell r="C174" t="str">
            <v>Compensation and benefits</v>
          </cell>
          <cell r="K174" t="str">
            <v>IBCM – Income statement – Compensation and benefits</v>
          </cell>
          <cell r="M174" t="str">
            <v>Positive Number</v>
          </cell>
        </row>
        <row r="175">
          <cell r="C175" t="str">
            <v>Total other operating expenses</v>
          </cell>
          <cell r="K175" t="str">
            <v>IBCM – Income statement – Total other operating expenses</v>
          </cell>
          <cell r="M175" t="str">
            <v>Positive Number</v>
          </cell>
        </row>
        <row r="177">
          <cell r="C177" t="str">
            <v>Capital and Leverage metrics</v>
          </cell>
        </row>
        <row r="178">
          <cell r="C178" t="str">
            <v>Risk-weighted assets – look-through (CHF million)</v>
          </cell>
          <cell r="K178" t="str">
            <v>IBCM – Assets under management – Risk-weighted assets – look-through (CHF million)</v>
          </cell>
          <cell r="M178" t="str">
            <v>Number</v>
          </cell>
        </row>
        <row r="179">
          <cell r="C179" t="str">
            <v>Leverage exposure – look-through (CHF million)</v>
          </cell>
          <cell r="K179" t="str">
            <v>IBCM – Assets under management – Leverage exposure – look-through (CHF million)</v>
          </cell>
          <cell r="M179" t="str">
            <v>Positive Number</v>
          </cell>
        </row>
        <row r="181">
          <cell r="C181" t="str">
            <v>• Corporate Center</v>
          </cell>
        </row>
        <row r="183">
          <cell r="C183" t="str">
            <v>Income statement (CHF million)</v>
          </cell>
        </row>
        <row r="184">
          <cell r="C184" t="str">
            <v>Net revenues</v>
          </cell>
          <cell r="K184" t="str">
            <v>CC – Income statement – Net revenues</v>
          </cell>
          <cell r="M184" t="str">
            <v>Number</v>
          </cell>
        </row>
        <row r="186">
          <cell r="C186" t="str">
            <v>Provision for credit losses</v>
          </cell>
          <cell r="K186" t="str">
            <v>CC – Income statement – Provision for credit losses</v>
          </cell>
          <cell r="M186" t="str">
            <v>Number</v>
          </cell>
        </row>
        <row r="188">
          <cell r="C188" t="str">
            <v>Compensation and benefits</v>
          </cell>
          <cell r="K188" t="str">
            <v>CC – Income statement – Compensation and benefits</v>
          </cell>
          <cell r="M188" t="str">
            <v>Positive Number</v>
          </cell>
        </row>
        <row r="189">
          <cell r="C189" t="str">
            <v>Total other operating expenses</v>
          </cell>
          <cell r="K189" t="str">
            <v>CC – Income statement – Total other operating expenses</v>
          </cell>
          <cell r="M189" t="str">
            <v>Positive Number</v>
          </cell>
        </row>
        <row r="191">
          <cell r="C191" t="str">
            <v>Capital and Leverage metrics</v>
          </cell>
        </row>
        <row r="192">
          <cell r="C192" t="str">
            <v>Risk-weighted assets – look-through (CHF million)</v>
          </cell>
          <cell r="K192" t="str">
            <v>CC – Assets under management – Risk-weighted assets – look-through (CHF million)</v>
          </cell>
          <cell r="M192" t="str">
            <v>Number</v>
          </cell>
        </row>
        <row r="193">
          <cell r="C193" t="str">
            <v>Leverage exposure – look-through (CHF million)</v>
          </cell>
          <cell r="K193" t="str">
            <v>CC – Assets under management – Leverage exposure – look-through (CHF million)</v>
          </cell>
          <cell r="M193" t="str">
            <v>Positive Number</v>
          </cell>
        </row>
        <row r="195">
          <cell r="C195" t="str">
            <v>• • Strategic Resolution Unit</v>
          </cell>
        </row>
        <row r="197">
          <cell r="C197" t="str">
            <v>Income statement (CHF million)</v>
          </cell>
        </row>
        <row r="198">
          <cell r="C198" t="str">
            <v>Net revenues from noncontrolling interests without SEI</v>
          </cell>
          <cell r="K198" t="str">
            <v>SRU – Income statement – Net revenues from noncontrolling interests without SEI</v>
          </cell>
          <cell r="M198" t="str">
            <v>Number</v>
          </cell>
        </row>
        <row r="199">
          <cell r="C199" t="str">
            <v>Other revenues</v>
          </cell>
          <cell r="K199" t="str">
            <v>SRU – Income statement – Other revenues</v>
          </cell>
          <cell r="M199" t="str">
            <v>Number</v>
          </cell>
        </row>
        <row r="201">
          <cell r="C201" t="str">
            <v>Provision for credit losses</v>
          </cell>
          <cell r="K201" t="str">
            <v>SRU – Income statement – Provision for credit losses</v>
          </cell>
          <cell r="M201" t="str">
            <v>Number</v>
          </cell>
        </row>
        <row r="203">
          <cell r="C203" t="str">
            <v>Compensation and benefits</v>
          </cell>
          <cell r="K203" t="str">
            <v>SRU – Income statement – Compensation and benefits</v>
          </cell>
          <cell r="M203" t="str">
            <v>Positive Number</v>
          </cell>
        </row>
        <row r="204">
          <cell r="C204" t="str">
            <v>Total other operating expenses</v>
          </cell>
          <cell r="K204" t="str">
            <v>SRU – Income statement – Total other operating expenses</v>
          </cell>
          <cell r="M204" t="str">
            <v>Positive Number</v>
          </cell>
        </row>
        <row r="206">
          <cell r="C206" t="str">
            <v>Capital and Leverage metrics</v>
          </cell>
        </row>
        <row r="207">
          <cell r="C207" t="str">
            <v>Risk-weighted assets – look-through (CHF million)</v>
          </cell>
          <cell r="K207" t="str">
            <v>SRU – Assets under management – Risk-weighted assets – look-through (CHF million)</v>
          </cell>
          <cell r="M207" t="str">
            <v>Number</v>
          </cell>
        </row>
        <row r="208">
          <cell r="C208" t="str">
            <v>Leverage exposure – look-through (CHF million)</v>
          </cell>
          <cell r="K208" t="str">
            <v>SRU – Assets under management – Leverage exposure – look-through (CHF million)</v>
          </cell>
          <cell r="M208" t="str">
            <v>Positive Number</v>
          </cell>
        </row>
        <row r="210">
          <cell r="C210" t="str">
            <v>Credit Suisse</v>
          </cell>
        </row>
        <row r="212">
          <cell r="C212" t="str">
            <v>Income statement (CHF million)</v>
          </cell>
        </row>
        <row r="213">
          <cell r="C213" t="str">
            <v>Income tax expense</v>
          </cell>
          <cell r="K213" t="str">
            <v>CS – Income statement – Income tax expense</v>
          </cell>
          <cell r="M213" t="str">
            <v>Number</v>
          </cell>
        </row>
        <row r="214">
          <cell r="C214" t="str">
            <v>Income from discontinued operations, net of tax</v>
          </cell>
          <cell r="K214" t="str">
            <v>CS – Income statement – Income from discontinued operations, net of tax</v>
          </cell>
          <cell r="M214" t="str">
            <v>Number</v>
          </cell>
        </row>
        <row r="215">
          <cell r="C215" t="str">
            <v>Less net income attributable to noncontrolling interests</v>
          </cell>
          <cell r="K215" t="str">
            <v>CS – Income statement – Less net income attributable to noncontrolling interests</v>
          </cell>
          <cell r="M215" t="str">
            <v>Number</v>
          </cell>
        </row>
        <row r="219">
          <cell r="C219" t="str">
            <v>Sum-of-the-parts valuation</v>
          </cell>
        </row>
        <row r="221">
          <cell r="C221" t="str">
            <v>Sum-of-the-parts data provided?</v>
          </cell>
          <cell r="K221" t="str">
            <v>SP – Sum-of-the-parts – Sum-of-the-parts data provided?</v>
          </cell>
          <cell r="M221" t="str">
            <v>Yes / No</v>
          </cell>
        </row>
        <row r="223">
          <cell r="C223" t="str">
            <v>Sum-of-the-parts value (CHF million)</v>
          </cell>
        </row>
        <row r="224">
          <cell r="C224" t="str">
            <v>Swiss Universal Bank</v>
          </cell>
          <cell r="K224" t="str">
            <v>SP – Sum-of-the-parts value – Swiss Universal Bank</v>
          </cell>
          <cell r="M224" t="str">
            <v>Number</v>
          </cell>
        </row>
        <row r="225">
          <cell r="C225" t="str">
            <v>International Wealth Management</v>
          </cell>
          <cell r="K225" t="str">
            <v>SP – Sum-of-the-parts value – International Wealth Management</v>
          </cell>
          <cell r="M225" t="str">
            <v>Number</v>
          </cell>
        </row>
        <row r="226">
          <cell r="C226" t="str">
            <v>Asia Pacific</v>
          </cell>
          <cell r="K226" t="str">
            <v>SP – Sum-of-the-parts value – Asia Pacific</v>
          </cell>
          <cell r="M226" t="str">
            <v>Number</v>
          </cell>
        </row>
        <row r="227">
          <cell r="C227" t="str">
            <v>Global Markets</v>
          </cell>
          <cell r="K227" t="str">
            <v>SP – Sum-of-the-parts value – Global Markets</v>
          </cell>
          <cell r="M227" t="str">
            <v>Number</v>
          </cell>
        </row>
        <row r="228">
          <cell r="C228" t="str">
            <v>Investment Banking &amp; Capital Markets</v>
          </cell>
          <cell r="K228" t="str">
            <v>SP – Sum-of-the-parts value – Investment Banking &amp; Capital Markets</v>
          </cell>
          <cell r="M228" t="str">
            <v>Number</v>
          </cell>
        </row>
        <row r="229">
          <cell r="C229" t="str">
            <v>Corporate Center</v>
          </cell>
          <cell r="K229" t="str">
            <v>SP – Sum-of-the-parts value – Corporate Center</v>
          </cell>
          <cell r="M229" t="str">
            <v>Number</v>
          </cell>
        </row>
        <row r="230">
          <cell r="C230" t="str">
            <v>Strategic Resolution Unit</v>
          </cell>
          <cell r="K230" t="str">
            <v>SP – Sum-of-the-parts value – Strategic Resolution Unit</v>
          </cell>
          <cell r="M230" t="str">
            <v>Number</v>
          </cell>
        </row>
        <row r="233">
          <cell r="C233" t="str">
            <v>Additional line items</v>
          </cell>
        </row>
        <row r="235">
          <cell r="C235" t="str">
            <v>Additional line items data provided?</v>
          </cell>
          <cell r="K235" t="str">
            <v>AD – Additional line items – Additional line items data provided?</v>
          </cell>
          <cell r="M235" t="str">
            <v>Yes / No</v>
          </cell>
        </row>
        <row r="237">
          <cell r="C237" t="str">
            <v>Additional line items</v>
          </cell>
        </row>
        <row r="238">
          <cell r="C238" t="str">
            <v>Restructuring SUB</v>
          </cell>
          <cell r="K238" t="str">
            <v>AD – SUBTOTAL – Additional line items – Restructuring SUB</v>
          </cell>
          <cell r="M238" t="str">
            <v>Number</v>
          </cell>
        </row>
        <row r="239">
          <cell r="C239" t="str">
            <v>Restructuring IWM</v>
          </cell>
          <cell r="K239" t="str">
            <v>AD – IWMTOTAL – Additional line items – Restructuring IWM</v>
          </cell>
          <cell r="M239" t="str">
            <v>Number</v>
          </cell>
        </row>
        <row r="240">
          <cell r="C240" t="str">
            <v>Restructuring APAC</v>
          </cell>
          <cell r="K240" t="str">
            <v>AD – APACTOTAL – Additional line items – Restructuring APAC</v>
          </cell>
          <cell r="M240" t="str">
            <v>Number</v>
          </cell>
        </row>
        <row r="241">
          <cell r="C241" t="str">
            <v>Restructuring GM</v>
          </cell>
          <cell r="K241" t="str">
            <v>AD – GM – Additional line items – Restructuring GM</v>
          </cell>
          <cell r="M241" t="str">
            <v>Number</v>
          </cell>
        </row>
        <row r="242">
          <cell r="C242" t="str">
            <v>Restructuring IBCM</v>
          </cell>
          <cell r="K242" t="str">
            <v>AD – IBCM – Additional line items – Restructuring IBCM</v>
          </cell>
          <cell r="M242" t="str">
            <v>Number</v>
          </cell>
        </row>
        <row r="243">
          <cell r="C243" t="str">
            <v>Restructuring SRU</v>
          </cell>
          <cell r="K243" t="str">
            <v>AD – SRU – Additional line items – Restructuring SRU</v>
          </cell>
          <cell r="M243" t="str">
            <v>Number</v>
          </cell>
        </row>
        <row r="244">
          <cell r="C244" t="str">
            <v>Litigation SUB</v>
          </cell>
          <cell r="K244" t="str">
            <v>AD – SUBTOTAL – Additional line items – Litigation SUB</v>
          </cell>
          <cell r="M244" t="str">
            <v>Number</v>
          </cell>
        </row>
        <row r="245">
          <cell r="C245" t="str">
            <v>Litigation IWM</v>
          </cell>
          <cell r="K245" t="str">
            <v>AD – IWMTOTAL – Additional line items – Litigation IWM</v>
          </cell>
          <cell r="M245" t="str">
            <v>Number</v>
          </cell>
        </row>
        <row r="246">
          <cell r="C246" t="str">
            <v>Litigation APAC</v>
          </cell>
          <cell r="K246" t="str">
            <v>AD – APACTOTAL – Additional line items – Litigation APAC</v>
          </cell>
          <cell r="M246" t="str">
            <v>Number</v>
          </cell>
        </row>
        <row r="247">
          <cell r="C247" t="str">
            <v>Litigation GM</v>
          </cell>
          <cell r="K247" t="str">
            <v>AD – GM – Additional line items – Litigation GM</v>
          </cell>
          <cell r="M247" t="str">
            <v>Number</v>
          </cell>
        </row>
        <row r="248">
          <cell r="C248" t="str">
            <v>Litigation IBCM</v>
          </cell>
          <cell r="K248" t="str">
            <v>AD – IBCM – Additional line items – Litigation IBCM</v>
          </cell>
          <cell r="M248" t="str">
            <v>Number</v>
          </cell>
        </row>
        <row r="249">
          <cell r="C249" t="str">
            <v>Litigation SRU</v>
          </cell>
          <cell r="K249" t="str">
            <v>AD – SRU – Additional line items – Litigation SRU</v>
          </cell>
          <cell r="M249" t="str">
            <v>Number</v>
          </cell>
        </row>
        <row r="250">
          <cell r="C250" t="str">
            <v>Real Estate gains &amp; gains on business sales</v>
          </cell>
          <cell r="K250" t="str">
            <v>AD – SRU – Additional line items – Real Estate gains &amp; gains on business sales</v>
          </cell>
          <cell r="M250" t="str">
            <v>Number</v>
          </cell>
        </row>
        <row r="252">
          <cell r="C252" t="str">
            <v>CET1 capital – look-through (CHF million)</v>
          </cell>
          <cell r="K252" t="str">
            <v>AD – Additional line items – CET1 capital – look-through (CHF million)</v>
          </cell>
          <cell r="M252" t="str">
            <v>Number</v>
          </cell>
        </row>
        <row r="253">
          <cell r="C253" t="str">
            <v>Tier 1 capital – look-through (CHF million)</v>
          </cell>
          <cell r="K253" t="str">
            <v>AD – Additional line items – Tier 1 capital – look-through (CHF million)</v>
          </cell>
          <cell r="M253" t="str">
            <v>Number</v>
          </cell>
        </row>
        <row r="254">
          <cell r="C254" t="str">
            <v>Risk-weighted assets – look-through (CHF million)</v>
          </cell>
          <cell r="K254" t="str">
            <v>AD – Additional line items – Risk-weighted assets – look-through (CHF million)</v>
          </cell>
          <cell r="M254" t="str">
            <v>Number</v>
          </cell>
        </row>
        <row r="255">
          <cell r="C255" t="str">
            <v>Leverage exposure – look-through (CHF million)</v>
          </cell>
          <cell r="K255" t="str">
            <v>AD – Additional line items – Leverage exposure – look-through (CHF million)</v>
          </cell>
          <cell r="M255" t="str">
            <v>Number</v>
          </cell>
        </row>
        <row r="257">
          <cell r="C257" t="str">
            <v>Total shareholders' equity (CHF million)</v>
          </cell>
          <cell r="K257" t="str">
            <v>AD – Additional line items – Total shareholders' equity (CHF million)</v>
          </cell>
          <cell r="M257" t="str">
            <v>Positive Number</v>
          </cell>
        </row>
        <row r="258">
          <cell r="C258" t="str">
            <v>Tangible shareholders' equity (CHF million)</v>
          </cell>
          <cell r="K258" t="str">
            <v>AD – Additional line items – Tangible shareholders' equity (CHF million)</v>
          </cell>
          <cell r="M258" t="str">
            <v>Positive Number</v>
          </cell>
        </row>
        <row r="259">
          <cell r="C259" t="str">
            <v>Shares outstanding, end of period (million)</v>
          </cell>
          <cell r="K259" t="str">
            <v>AD – Additional line items – Shares outstanding, end of period (million)</v>
          </cell>
          <cell r="M259" t="str">
            <v>Positive Number</v>
          </cell>
        </row>
        <row r="260">
          <cell r="C260" t="str">
            <v>Dividend per share</v>
          </cell>
          <cell r="K260" t="str">
            <v>AD – Additional line items – Dividend per share</v>
          </cell>
          <cell r="M260" t="str">
            <v>Positive Number</v>
          </cell>
        </row>
        <row r="263">
          <cell r="C263" t="str">
            <v>Earnings per share</v>
          </cell>
        </row>
        <row r="265">
          <cell r="C265" t="str">
            <v>Income statement (CHF million)</v>
          </cell>
        </row>
        <row r="266">
          <cell r="C266" t="str">
            <v>Net income attributable to shareholders for diluted earnings per share:</v>
          </cell>
          <cell r="K266" t="str">
            <v>CS – Income statement – Net income attributable to shareholders for diluted earnings per share:</v>
          </cell>
          <cell r="M266" t="str">
            <v>Number</v>
          </cell>
        </row>
        <row r="267">
          <cell r="C267" t="str">
            <v>Available for common shares</v>
          </cell>
          <cell r="K267" t="str">
            <v>CS – Income statement – Available for common shares</v>
          </cell>
          <cell r="M267" t="str">
            <v>Number</v>
          </cell>
        </row>
        <row r="268">
          <cell r="C268" t="str">
            <v>Available for unvested share-based payment awards</v>
          </cell>
          <cell r="K268" t="str">
            <v>CS – Income statement – Available for unvested share-based payment awards</v>
          </cell>
          <cell r="M268" t="str">
            <v>Number</v>
          </cell>
        </row>
        <row r="270">
          <cell r="C270" t="str">
            <v>Weighted-average shares outstanding: basic EPS available for common shares</v>
          </cell>
          <cell r="K270" t="str">
            <v>CS – Income statement – Weighted-average shares outstanding: basic EPS available for common shares</v>
          </cell>
          <cell r="M270" t="str">
            <v>Number</v>
          </cell>
        </row>
        <row r="271">
          <cell r="C271" t="str">
            <v>Dilutive shares from contracts, share options, warrants and share awards</v>
          </cell>
          <cell r="K271" t="str">
            <v>CS – Income statement – Dilutive shares from contracts, share options, warrants and share awards</v>
          </cell>
          <cell r="M271" t="str">
            <v>Number</v>
          </cell>
        </row>
        <row r="272">
          <cell r="C272" t="str">
            <v>Weighted-average shares outstanding: basic/diluted EPS available for unvested share-based payment awards</v>
          </cell>
          <cell r="K272" t="str">
            <v>CS – Income statement – Weighted-average shares outstanding: basic/diluted EPS available for unvested share-based payment awards</v>
          </cell>
        </row>
        <row r="274">
          <cell r="C274" t="str">
            <v>Diluted earnings/(loss) per share available for common shares</v>
          </cell>
          <cell r="K274" t="str">
            <v>CS – Income statement – Diluted earnings/(loss) per share available for common shares</v>
          </cell>
          <cell r="M274" t="str">
            <v>Number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37"/>
  <sheetViews>
    <sheetView showGridLine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C40" sqref="C40"/>
    </sheetView>
  </sheetViews>
  <sheetFormatPr defaultColWidth="1.7109375" defaultRowHeight="13.5" customHeight="1"/>
  <cols>
    <col min="1" max="1" width="2.7109375" style="44" customWidth="1"/>
    <col min="2" max="3" width="30.7109375" style="44" customWidth="1"/>
    <col min="4" max="4" width="35.28125" style="44" bestFit="1" customWidth="1"/>
    <col min="5" max="6" width="20.7109375" style="44" customWidth="1"/>
    <col min="7" max="7" width="30.7109375" style="44" customWidth="1"/>
    <col min="8" max="8" width="22.140625" style="44" customWidth="1"/>
    <col min="9" max="9" width="24.28125" style="44" customWidth="1"/>
    <col min="10" max="17" width="2.7109375" style="44" customWidth="1"/>
    <col min="18" max="16384" width="1.7109375" style="44" customWidth="1"/>
  </cols>
  <sheetData>
    <row r="1" spans="1:17" ht="27" customHeight="1">
      <c r="A1" s="123"/>
      <c r="B1" s="123" t="s">
        <v>34</v>
      </c>
      <c r="C1" s="123" t="s">
        <v>35</v>
      </c>
      <c r="D1" s="124" t="s">
        <v>29</v>
      </c>
      <c r="E1" s="123" t="s">
        <v>48</v>
      </c>
      <c r="F1" s="123" t="s">
        <v>47</v>
      </c>
      <c r="G1" s="124" t="s">
        <v>70</v>
      </c>
      <c r="H1" s="124" t="s">
        <v>183</v>
      </c>
      <c r="I1" s="124" t="s">
        <v>189</v>
      </c>
      <c r="J1" s="460"/>
      <c r="K1" s="460"/>
      <c r="L1" s="460"/>
      <c r="M1" s="460"/>
      <c r="N1" s="460"/>
      <c r="O1" s="460"/>
      <c r="P1" s="460"/>
      <c r="Q1" s="460"/>
    </row>
    <row r="2" spans="1:17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3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3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3.5" customHeight="1">
      <c r="A5" s="96"/>
      <c r="B5" s="78" t="s">
        <v>105</v>
      </c>
      <c r="C5" s="126"/>
      <c r="D5" s="126"/>
      <c r="E5" s="126"/>
      <c r="F5" s="126"/>
      <c r="G5" s="8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13.5" customHeight="1">
      <c r="A6" s="96"/>
      <c r="B6" s="127" t="s">
        <v>76</v>
      </c>
      <c r="C6" s="128"/>
      <c r="D6" s="128"/>
      <c r="E6" s="128"/>
      <c r="F6" s="128"/>
      <c r="G6" s="129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3.5" customHeight="1">
      <c r="A7" s="96"/>
      <c r="B7" s="127" t="s">
        <v>77</v>
      </c>
      <c r="C7" s="128"/>
      <c r="D7" s="128"/>
      <c r="E7" s="128"/>
      <c r="F7" s="128"/>
      <c r="G7" s="129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13.5" customHeight="1">
      <c r="A8" s="96"/>
      <c r="B8" s="127" t="s">
        <v>101</v>
      </c>
      <c r="C8" s="128"/>
      <c r="D8" s="128"/>
      <c r="E8" s="128"/>
      <c r="F8" s="128"/>
      <c r="G8" s="129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ht="13.5" customHeight="1">
      <c r="A9" s="96"/>
      <c r="B9" s="127" t="s">
        <v>85</v>
      </c>
      <c r="C9" s="128"/>
      <c r="D9" s="128"/>
      <c r="E9" s="128"/>
      <c r="F9" s="128"/>
      <c r="G9" s="129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ht="13.5" customHeight="1">
      <c r="A10" s="96"/>
      <c r="B10" s="127" t="s">
        <v>87</v>
      </c>
      <c r="C10" s="128"/>
      <c r="D10" s="128"/>
      <c r="E10" s="128"/>
      <c r="F10" s="128"/>
      <c r="G10" s="129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13.5" customHeight="1">
      <c r="A11" s="96"/>
      <c r="B11" s="127" t="s">
        <v>103</v>
      </c>
      <c r="C11" s="128"/>
      <c r="D11" s="128"/>
      <c r="E11" s="128"/>
      <c r="F11" s="128"/>
      <c r="G11" s="129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3.5" customHeight="1">
      <c r="A12" s="96"/>
      <c r="B12" s="127" t="s">
        <v>102</v>
      </c>
      <c r="C12" s="128"/>
      <c r="D12" s="128"/>
      <c r="E12" s="128"/>
      <c r="F12" s="128"/>
      <c r="G12" s="129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ht="13.5" customHeight="1">
      <c r="A13" s="96"/>
      <c r="B13" s="127" t="s">
        <v>82</v>
      </c>
      <c r="C13" s="128"/>
      <c r="D13" s="128"/>
      <c r="E13" s="128"/>
      <c r="F13" s="128"/>
      <c r="G13" s="129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ht="13.5" customHeight="1">
      <c r="A14" s="96"/>
      <c r="B14" s="127" t="s">
        <v>83</v>
      </c>
      <c r="C14" s="128"/>
      <c r="D14" s="128"/>
      <c r="E14" s="128"/>
      <c r="F14" s="128"/>
      <c r="G14" s="129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13.5" customHeight="1">
      <c r="A15" s="96"/>
      <c r="B15" s="130" t="s">
        <v>84</v>
      </c>
      <c r="C15" s="131"/>
      <c r="D15" s="131"/>
      <c r="E15" s="131"/>
      <c r="F15" s="131"/>
      <c r="G15" s="132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7" ht="13.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3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3.5" customHeight="1">
      <c r="A18" s="96"/>
      <c r="B18" s="96"/>
      <c r="C18" s="97" t="s">
        <v>46</v>
      </c>
      <c r="D18" s="76" t="s">
        <v>99</v>
      </c>
      <c r="E18" s="98" t="s">
        <v>46</v>
      </c>
      <c r="F18" s="98" t="s">
        <v>46</v>
      </c>
      <c r="G18" s="94" t="s">
        <v>225</v>
      </c>
      <c r="H18" s="36" t="s">
        <v>258</v>
      </c>
      <c r="I18" s="36" t="s">
        <v>256</v>
      </c>
      <c r="J18" s="96"/>
      <c r="K18" s="96"/>
      <c r="L18" s="96"/>
      <c r="M18" s="96"/>
      <c r="N18" s="96"/>
      <c r="O18" s="96"/>
      <c r="P18" s="96"/>
      <c r="Q18" s="96"/>
    </row>
    <row r="19" spans="1:17" ht="13.5" customHeight="1">
      <c r="A19" s="96"/>
      <c r="B19" s="4" t="s">
        <v>143</v>
      </c>
      <c r="C19" s="4" t="s">
        <v>143</v>
      </c>
      <c r="D19" s="76" t="s">
        <v>116</v>
      </c>
      <c r="E19" s="36" t="s">
        <v>33</v>
      </c>
      <c r="F19" s="99">
        <v>0</v>
      </c>
      <c r="G19" s="96"/>
      <c r="H19" s="36" t="s">
        <v>259</v>
      </c>
      <c r="I19" s="36" t="s">
        <v>257</v>
      </c>
      <c r="J19" s="96"/>
      <c r="K19" s="96"/>
      <c r="L19" s="96"/>
      <c r="M19" s="96"/>
      <c r="N19" s="96"/>
      <c r="O19" s="96"/>
      <c r="P19" s="96"/>
      <c r="Q19" s="96"/>
    </row>
    <row r="20" spans="1:17" ht="13.5" customHeight="1">
      <c r="A20" s="96"/>
      <c r="B20" s="4" t="s">
        <v>278</v>
      </c>
      <c r="C20" s="4" t="s">
        <v>278</v>
      </c>
      <c r="D20" s="76" t="s">
        <v>111</v>
      </c>
      <c r="E20" s="36" t="s">
        <v>43</v>
      </c>
      <c r="F20" s="36">
        <f aca="true" t="shared" si="0" ref="F20:F84">F19+1</f>
        <v>1</v>
      </c>
      <c r="G20" s="96"/>
      <c r="H20" s="36" t="s">
        <v>224</v>
      </c>
      <c r="I20" s="36" t="s">
        <v>253</v>
      </c>
      <c r="J20" s="96"/>
      <c r="K20" s="96"/>
      <c r="L20" s="96"/>
      <c r="M20" s="96"/>
      <c r="N20" s="96"/>
      <c r="O20" s="96"/>
      <c r="P20" s="96"/>
      <c r="Q20" s="96"/>
    </row>
    <row r="21" spans="1:17" ht="13.5" customHeight="1">
      <c r="A21" s="96"/>
      <c r="B21" s="4" t="s">
        <v>290</v>
      </c>
      <c r="C21" s="4" t="s">
        <v>290</v>
      </c>
      <c r="D21" s="4" t="s">
        <v>119</v>
      </c>
      <c r="E21" s="36" t="s">
        <v>44</v>
      </c>
      <c r="F21" s="36">
        <f t="shared" si="0"/>
        <v>2</v>
      </c>
      <c r="G21" s="96"/>
      <c r="H21" s="36" t="s">
        <v>184</v>
      </c>
      <c r="I21" s="36" t="s">
        <v>190</v>
      </c>
      <c r="J21" s="96"/>
      <c r="K21" s="96"/>
      <c r="L21" s="96"/>
      <c r="M21" s="96"/>
      <c r="N21" s="96"/>
      <c r="O21" s="96"/>
      <c r="P21" s="96"/>
      <c r="Q21" s="96"/>
    </row>
    <row r="22" spans="1:17" ht="13.5" customHeight="1">
      <c r="A22" s="96"/>
      <c r="B22" s="4" t="s">
        <v>248</v>
      </c>
      <c r="C22" s="4" t="s">
        <v>248</v>
      </c>
      <c r="D22" s="4" t="s">
        <v>41</v>
      </c>
      <c r="E22" s="96"/>
      <c r="F22" s="36">
        <f t="shared" si="0"/>
        <v>3</v>
      </c>
      <c r="G22" s="96"/>
      <c r="H22" s="36" t="s">
        <v>185</v>
      </c>
      <c r="I22" s="36" t="s">
        <v>191</v>
      </c>
      <c r="J22" s="96"/>
      <c r="K22" s="96"/>
      <c r="L22" s="96"/>
      <c r="M22" s="96"/>
      <c r="N22" s="96"/>
      <c r="O22" s="96"/>
      <c r="P22" s="96"/>
      <c r="Q22" s="96"/>
    </row>
    <row r="23" spans="1:17" ht="13.5" customHeight="1">
      <c r="A23" s="96"/>
      <c r="B23" s="4" t="s">
        <v>249</v>
      </c>
      <c r="C23" s="4" t="s">
        <v>249</v>
      </c>
      <c r="D23" s="4" t="s">
        <v>49</v>
      </c>
      <c r="E23" s="96"/>
      <c r="F23" s="36">
        <f t="shared" si="0"/>
        <v>4</v>
      </c>
      <c r="G23" s="96"/>
      <c r="H23" s="36" t="s">
        <v>223</v>
      </c>
      <c r="I23" s="36" t="s">
        <v>220</v>
      </c>
      <c r="J23" s="96"/>
      <c r="K23" s="96"/>
      <c r="L23" s="96"/>
      <c r="M23" s="96"/>
      <c r="N23" s="96"/>
      <c r="O23" s="96"/>
      <c r="P23" s="96"/>
      <c r="Q23" s="96"/>
    </row>
    <row r="24" spans="1:17" ht="13.5" customHeight="1">
      <c r="A24" s="96"/>
      <c r="B24" s="4" t="s">
        <v>292</v>
      </c>
      <c r="C24" s="4" t="s">
        <v>292</v>
      </c>
      <c r="D24" s="4" t="s">
        <v>50</v>
      </c>
      <c r="E24" s="96"/>
      <c r="F24" s="36">
        <f t="shared" si="0"/>
        <v>5</v>
      </c>
      <c r="G24" s="96"/>
      <c r="H24" s="36" t="s">
        <v>262</v>
      </c>
      <c r="I24" s="36" t="s">
        <v>260</v>
      </c>
      <c r="J24" s="96"/>
      <c r="K24" s="96"/>
      <c r="L24" s="96"/>
      <c r="M24" s="96"/>
      <c r="N24" s="96"/>
      <c r="O24" s="96"/>
      <c r="P24" s="96"/>
      <c r="Q24" s="96"/>
    </row>
    <row r="25" spans="1:17" ht="13.5" customHeight="1">
      <c r="A25" s="96"/>
      <c r="B25" s="4" t="s">
        <v>100</v>
      </c>
      <c r="C25" s="4" t="s">
        <v>100</v>
      </c>
      <c r="D25" s="4" t="s">
        <v>51</v>
      </c>
      <c r="E25" s="96"/>
      <c r="F25" s="36">
        <f t="shared" si="0"/>
        <v>6</v>
      </c>
      <c r="G25" s="96"/>
      <c r="H25" s="36" t="s">
        <v>263</v>
      </c>
      <c r="I25" s="36" t="s">
        <v>261</v>
      </c>
      <c r="J25" s="96"/>
      <c r="K25" s="96"/>
      <c r="L25" s="96"/>
      <c r="M25" s="96"/>
      <c r="N25" s="96"/>
      <c r="O25" s="96"/>
      <c r="P25" s="96"/>
      <c r="Q25" s="96"/>
    </row>
    <row r="26" spans="1:17" ht="13.5" customHeight="1">
      <c r="A26" s="96"/>
      <c r="B26" s="4" t="s">
        <v>145</v>
      </c>
      <c r="C26" s="4" t="s">
        <v>145</v>
      </c>
      <c r="D26" s="4" t="s">
        <v>117</v>
      </c>
      <c r="E26" s="96"/>
      <c r="F26" s="36">
        <f t="shared" si="0"/>
        <v>7</v>
      </c>
      <c r="G26" s="96"/>
      <c r="H26" s="36" t="s">
        <v>222</v>
      </c>
      <c r="I26" s="36" t="s">
        <v>221</v>
      </c>
      <c r="J26" s="96"/>
      <c r="K26" s="96"/>
      <c r="L26" s="96"/>
      <c r="M26" s="96"/>
      <c r="N26" s="96"/>
      <c r="O26" s="96"/>
      <c r="P26" s="96"/>
      <c r="Q26" s="96"/>
    </row>
    <row r="27" spans="1:17" ht="13.5" customHeight="1">
      <c r="A27" s="96"/>
      <c r="B27" s="4" t="s">
        <v>40</v>
      </c>
      <c r="C27" s="4" t="s">
        <v>40</v>
      </c>
      <c r="D27" s="4" t="s">
        <v>42</v>
      </c>
      <c r="E27" s="96"/>
      <c r="F27" s="36">
        <f t="shared" si="0"/>
        <v>8</v>
      </c>
      <c r="G27" s="96"/>
      <c r="H27" s="36" t="s">
        <v>153</v>
      </c>
      <c r="I27" s="36" t="s">
        <v>192</v>
      </c>
      <c r="J27" s="96"/>
      <c r="K27" s="96"/>
      <c r="L27" s="96"/>
      <c r="M27" s="96"/>
      <c r="N27" s="96"/>
      <c r="O27" s="96"/>
      <c r="P27" s="96"/>
      <c r="Q27" s="96"/>
    </row>
    <row r="28" spans="1:17" ht="13.5" customHeight="1">
      <c r="A28" s="96"/>
      <c r="B28" s="230" t="s">
        <v>88</v>
      </c>
      <c r="C28" s="230" t="s">
        <v>88</v>
      </c>
      <c r="D28" s="4" t="s">
        <v>52</v>
      </c>
      <c r="E28" s="96"/>
      <c r="F28" s="36">
        <f t="shared" si="0"/>
        <v>9</v>
      </c>
      <c r="G28" s="96"/>
      <c r="H28" s="36" t="s">
        <v>192</v>
      </c>
      <c r="I28" s="36" t="s">
        <v>192</v>
      </c>
      <c r="J28" s="96"/>
      <c r="K28" s="96"/>
      <c r="L28" s="96"/>
      <c r="M28" s="96"/>
      <c r="N28" s="96"/>
      <c r="O28" s="96"/>
      <c r="P28" s="96"/>
      <c r="Q28" s="96"/>
    </row>
    <row r="29" spans="1:17" ht="13.5" customHeight="1">
      <c r="A29" s="96"/>
      <c r="B29" s="4" t="s">
        <v>106</v>
      </c>
      <c r="C29" s="4" t="s">
        <v>106</v>
      </c>
      <c r="D29" s="4" t="s">
        <v>53</v>
      </c>
      <c r="E29" s="96"/>
      <c r="F29" s="36">
        <f t="shared" si="0"/>
        <v>10</v>
      </c>
      <c r="G29" s="96"/>
      <c r="H29" s="36" t="s">
        <v>186</v>
      </c>
      <c r="I29" s="36" t="s">
        <v>186</v>
      </c>
      <c r="J29" s="96"/>
      <c r="K29" s="96"/>
      <c r="L29" s="96"/>
      <c r="M29" s="96"/>
      <c r="N29" s="96"/>
      <c r="O29" s="96"/>
      <c r="P29" s="96"/>
      <c r="Q29" s="96"/>
    </row>
    <row r="30" spans="1:17" ht="13.5" customHeight="1">
      <c r="A30" s="96"/>
      <c r="B30" s="4" t="s">
        <v>274</v>
      </c>
      <c r="C30" s="4" t="s">
        <v>274</v>
      </c>
      <c r="D30" s="4" t="s">
        <v>54</v>
      </c>
      <c r="E30" s="96"/>
      <c r="F30" s="36">
        <f t="shared" si="0"/>
        <v>11</v>
      </c>
      <c r="G30" s="96"/>
      <c r="H30" s="36" t="s">
        <v>155</v>
      </c>
      <c r="I30" s="36" t="s">
        <v>187</v>
      </c>
      <c r="J30" s="96"/>
      <c r="K30" s="96"/>
      <c r="L30" s="96"/>
      <c r="M30" s="96"/>
      <c r="N30" s="96"/>
      <c r="O30" s="96"/>
      <c r="P30" s="96"/>
      <c r="Q30" s="96"/>
    </row>
    <row r="31" spans="1:17" ht="13.5" customHeight="1">
      <c r="A31" s="96"/>
      <c r="B31" s="4" t="s">
        <v>273</v>
      </c>
      <c r="C31" s="4" t="s">
        <v>273</v>
      </c>
      <c r="D31" s="4" t="s">
        <v>282</v>
      </c>
      <c r="E31" s="96"/>
      <c r="F31" s="36">
        <f t="shared" si="0"/>
        <v>12</v>
      </c>
      <c r="G31" s="96"/>
      <c r="H31" s="36" t="s">
        <v>188</v>
      </c>
      <c r="I31" s="36" t="s">
        <v>188</v>
      </c>
      <c r="J31" s="96"/>
      <c r="K31" s="96"/>
      <c r="L31" s="96"/>
      <c r="M31" s="96"/>
      <c r="N31" s="96"/>
      <c r="O31" s="96"/>
      <c r="P31" s="96"/>
      <c r="Q31" s="96"/>
    </row>
    <row r="32" spans="1:17" ht="13.5" customHeight="1">
      <c r="A32" s="96"/>
      <c r="B32" s="4" t="s">
        <v>286</v>
      </c>
      <c r="C32" s="4" t="s">
        <v>286</v>
      </c>
      <c r="D32" s="4" t="s">
        <v>55</v>
      </c>
      <c r="E32" s="96"/>
      <c r="F32" s="36">
        <f t="shared" si="0"/>
        <v>13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ht="13.5" customHeight="1">
      <c r="A33" s="96"/>
      <c r="B33" s="4" t="s">
        <v>281</v>
      </c>
      <c r="C33" s="4" t="s">
        <v>281</v>
      </c>
      <c r="D33" s="4" t="s">
        <v>283</v>
      </c>
      <c r="E33" s="96"/>
      <c r="F33" s="36">
        <f t="shared" si="0"/>
        <v>14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ht="13.5" customHeight="1">
      <c r="A34" s="96"/>
      <c r="B34" s="4" t="s">
        <v>299</v>
      </c>
      <c r="C34" s="4" t="s">
        <v>299</v>
      </c>
      <c r="D34" s="4" t="s">
        <v>114</v>
      </c>
      <c r="E34" s="96"/>
      <c r="F34" s="36">
        <f t="shared" si="0"/>
        <v>15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t="13.5" customHeight="1">
      <c r="A35" s="96"/>
      <c r="B35" s="4" t="s">
        <v>276</v>
      </c>
      <c r="C35" s="4" t="s">
        <v>276</v>
      </c>
      <c r="D35" s="4" t="s">
        <v>109</v>
      </c>
      <c r="E35" s="96"/>
      <c r="F35" s="36">
        <f t="shared" si="0"/>
        <v>16</v>
      </c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ht="13.5" customHeight="1">
      <c r="A36" s="96"/>
      <c r="B36" s="4" t="s">
        <v>242</v>
      </c>
      <c r="C36" s="4" t="s">
        <v>242</v>
      </c>
      <c r="D36" s="4" t="s">
        <v>108</v>
      </c>
      <c r="E36" s="96"/>
      <c r="F36" s="36">
        <f t="shared" si="0"/>
        <v>17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3.5" customHeight="1">
      <c r="A37" s="96"/>
      <c r="B37" s="4" t="s">
        <v>122</v>
      </c>
      <c r="C37" s="4" t="s">
        <v>122</v>
      </c>
      <c r="D37" s="4" t="s">
        <v>294</v>
      </c>
      <c r="E37" s="96"/>
      <c r="F37" s="36">
        <f t="shared" si="0"/>
        <v>18</v>
      </c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13.5" customHeight="1">
      <c r="A38" s="96"/>
      <c r="B38" s="4" t="s">
        <v>126</v>
      </c>
      <c r="C38" s="4" t="s">
        <v>126</v>
      </c>
      <c r="D38" s="208" t="s">
        <v>118</v>
      </c>
      <c r="E38" s="96"/>
      <c r="F38" s="36">
        <f t="shared" si="0"/>
        <v>19</v>
      </c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13.5" customHeight="1">
      <c r="A39" s="96"/>
      <c r="B39" s="4" t="s">
        <v>241</v>
      </c>
      <c r="C39" s="4" t="s">
        <v>241</v>
      </c>
      <c r="D39" s="4" t="s">
        <v>56</v>
      </c>
      <c r="E39" s="96"/>
      <c r="F39" s="36">
        <f t="shared" si="0"/>
        <v>20</v>
      </c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13.5" customHeight="1">
      <c r="A40" s="96"/>
      <c r="B40" s="4" t="s">
        <v>289</v>
      </c>
      <c r="C40" s="4" t="s">
        <v>289</v>
      </c>
      <c r="D40" s="475" t="s">
        <v>112</v>
      </c>
      <c r="E40" s="96"/>
      <c r="F40" s="36">
        <f t="shared" si="0"/>
        <v>21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17" ht="13.5" customHeight="1">
      <c r="A41" s="96"/>
      <c r="B41" s="4" t="s">
        <v>199</v>
      </c>
      <c r="C41" s="4" t="s">
        <v>199</v>
      </c>
      <c r="D41" s="4" t="s">
        <v>90</v>
      </c>
      <c r="E41" s="96"/>
      <c r="F41" s="36">
        <f t="shared" si="0"/>
        <v>22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ht="13.5" customHeight="1">
      <c r="A42" s="96"/>
      <c r="B42" s="4" t="s">
        <v>244</v>
      </c>
      <c r="C42" s="4" t="s">
        <v>244</v>
      </c>
      <c r="D42" s="4" t="s">
        <v>110</v>
      </c>
      <c r="E42" s="96"/>
      <c r="F42" s="36">
        <f t="shared" si="0"/>
        <v>23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ht="13.5" customHeight="1">
      <c r="A43" s="96"/>
      <c r="B43" s="4" t="s">
        <v>279</v>
      </c>
      <c r="C43" s="4" t="s">
        <v>279</v>
      </c>
      <c r="D43" s="4" t="s">
        <v>89</v>
      </c>
      <c r="E43" s="96"/>
      <c r="F43" s="36">
        <f t="shared" si="0"/>
        <v>24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1:17" ht="13.5" customHeight="1">
      <c r="A44" s="96"/>
      <c r="B44" s="4" t="s">
        <v>291</v>
      </c>
      <c r="C44" s="4" t="s">
        <v>291</v>
      </c>
      <c r="D44" s="4" t="s">
        <v>115</v>
      </c>
      <c r="E44" s="96"/>
      <c r="F44" s="36">
        <f t="shared" si="0"/>
        <v>25</v>
      </c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1:17" ht="13.5" customHeight="1">
      <c r="A45" s="96"/>
      <c r="B45" s="4" t="s">
        <v>270</v>
      </c>
      <c r="C45" s="4" t="s">
        <v>270</v>
      </c>
      <c r="D45" s="4" t="s">
        <v>295</v>
      </c>
      <c r="E45" s="96"/>
      <c r="F45" s="36">
        <f>F44+1</f>
        <v>26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1:17" ht="13.5" customHeight="1">
      <c r="A46" s="96"/>
      <c r="B46" s="4" t="s">
        <v>91</v>
      </c>
      <c r="C46" s="4" t="s">
        <v>91</v>
      </c>
      <c r="D46" s="4" t="s">
        <v>57</v>
      </c>
      <c r="E46" s="96"/>
      <c r="F46" s="36">
        <f t="shared" si="0"/>
        <v>27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1:17" ht="13.5" customHeight="1">
      <c r="A47" s="96"/>
      <c r="B47" s="4" t="s">
        <v>32</v>
      </c>
      <c r="C47" s="4" t="s">
        <v>32</v>
      </c>
      <c r="D47" s="4" t="s">
        <v>58</v>
      </c>
      <c r="E47" s="96"/>
      <c r="F47" s="36">
        <f t="shared" si="0"/>
        <v>28</v>
      </c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1:17" ht="13.5" customHeight="1">
      <c r="A48" s="96"/>
      <c r="B48" s="4" t="s">
        <v>97</v>
      </c>
      <c r="C48" s="4" t="s">
        <v>97</v>
      </c>
      <c r="D48" s="208" t="s">
        <v>60</v>
      </c>
      <c r="E48" s="96"/>
      <c r="F48" s="36">
        <f t="shared" si="0"/>
        <v>29</v>
      </c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1:17" ht="13.5" customHeight="1">
      <c r="A49" s="96"/>
      <c r="B49" s="4" t="s">
        <v>36</v>
      </c>
      <c r="C49" s="4" t="s">
        <v>36</v>
      </c>
      <c r="D49" s="4"/>
      <c r="E49" s="96"/>
      <c r="F49" s="36">
        <f t="shared" si="0"/>
        <v>30</v>
      </c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1:17" ht="13.5" customHeight="1">
      <c r="A50" s="96"/>
      <c r="B50" s="4" t="s">
        <v>38</v>
      </c>
      <c r="C50" s="4" t="s">
        <v>38</v>
      </c>
      <c r="D50" s="4"/>
      <c r="E50" s="96"/>
      <c r="F50" s="36">
        <f t="shared" si="0"/>
        <v>31</v>
      </c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1:17" ht="13.5" customHeight="1">
      <c r="A51" s="96"/>
      <c r="B51" s="4" t="s">
        <v>247</v>
      </c>
      <c r="C51" s="4" t="s">
        <v>247</v>
      </c>
      <c r="D51" s="4"/>
      <c r="E51" s="96"/>
      <c r="F51" s="36">
        <f t="shared" si="0"/>
        <v>32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1:17" ht="13.5" customHeight="1">
      <c r="A52" s="96"/>
      <c r="B52" s="4" t="s">
        <v>144</v>
      </c>
      <c r="C52" s="4" t="s">
        <v>144</v>
      </c>
      <c r="D52" s="4"/>
      <c r="E52" s="96"/>
      <c r="F52" s="36">
        <f t="shared" si="0"/>
        <v>33</v>
      </c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1:17" ht="13.5" customHeight="1">
      <c r="A53" s="96"/>
      <c r="B53" s="4" t="s">
        <v>123</v>
      </c>
      <c r="C53" s="4" t="s">
        <v>123</v>
      </c>
      <c r="D53" s="4"/>
      <c r="E53" s="96"/>
      <c r="F53" s="36">
        <f t="shared" si="0"/>
        <v>34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17" ht="13.5" customHeight="1">
      <c r="A54" s="96"/>
      <c r="B54" s="4" t="s">
        <v>277</v>
      </c>
      <c r="C54" s="4" t="s">
        <v>277</v>
      </c>
      <c r="D54" s="4"/>
      <c r="E54" s="96"/>
      <c r="F54" s="36">
        <f t="shared" si="0"/>
        <v>35</v>
      </c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1:17" ht="13.5" customHeight="1">
      <c r="A55" s="96"/>
      <c r="B55" s="4" t="s">
        <v>280</v>
      </c>
      <c r="C55" s="4" t="s">
        <v>280</v>
      </c>
      <c r="D55" s="4"/>
      <c r="E55" s="96"/>
      <c r="F55" s="36">
        <f t="shared" si="0"/>
        <v>36</v>
      </c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17" ht="13.5" customHeight="1">
      <c r="A56" s="96"/>
      <c r="B56" s="230" t="s">
        <v>37</v>
      </c>
      <c r="C56" s="230" t="s">
        <v>37</v>
      </c>
      <c r="D56" s="4"/>
      <c r="E56" s="96"/>
      <c r="F56" s="36">
        <f t="shared" si="0"/>
        <v>37</v>
      </c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1:17" ht="13.5" customHeight="1">
      <c r="A57" s="96"/>
      <c r="B57" s="230" t="s">
        <v>300</v>
      </c>
      <c r="C57" s="230" t="s">
        <v>300</v>
      </c>
      <c r="D57" s="208"/>
      <c r="E57" s="96"/>
      <c r="F57" s="36">
        <f t="shared" si="0"/>
        <v>38</v>
      </c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ht="13.5" customHeight="1">
      <c r="A58" s="96"/>
      <c r="B58" s="4" t="s">
        <v>245</v>
      </c>
      <c r="C58" s="4" t="s">
        <v>245</v>
      </c>
      <c r="D58" s="4"/>
      <c r="E58" s="96"/>
      <c r="F58" s="36">
        <f t="shared" si="0"/>
        <v>39</v>
      </c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7" ht="13.5" customHeight="1">
      <c r="A59" s="96"/>
      <c r="B59" s="4" t="s">
        <v>275</v>
      </c>
      <c r="C59" s="4" t="s">
        <v>275</v>
      </c>
      <c r="D59" s="4"/>
      <c r="E59" s="96"/>
      <c r="F59" s="36">
        <f t="shared" si="0"/>
        <v>40</v>
      </c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1:17" ht="13.5" customHeight="1">
      <c r="A60" s="96"/>
      <c r="B60" s="4" t="s">
        <v>243</v>
      </c>
      <c r="C60" s="4" t="s">
        <v>243</v>
      </c>
      <c r="D60" s="209"/>
      <c r="E60" s="96"/>
      <c r="F60" s="36">
        <f t="shared" si="0"/>
        <v>41</v>
      </c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1:17" ht="13.5" customHeight="1">
      <c r="A61" s="96"/>
      <c r="B61" s="4" t="s">
        <v>246</v>
      </c>
      <c r="C61" s="4" t="s">
        <v>246</v>
      </c>
      <c r="D61" s="4"/>
      <c r="E61" s="96"/>
      <c r="F61" s="36">
        <f t="shared" si="0"/>
        <v>42</v>
      </c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1:17" ht="13.5" customHeight="1">
      <c r="A62" s="96"/>
      <c r="B62" s="4" t="s">
        <v>250</v>
      </c>
      <c r="C62" s="4" t="s">
        <v>250</v>
      </c>
      <c r="D62" s="208"/>
      <c r="E62" s="96"/>
      <c r="F62" s="36">
        <f t="shared" si="0"/>
        <v>43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1:17" ht="13.5" customHeight="1">
      <c r="A63" s="96"/>
      <c r="B63" s="4" t="s">
        <v>107</v>
      </c>
      <c r="C63" s="4" t="s">
        <v>107</v>
      </c>
      <c r="D63" s="4"/>
      <c r="E63" s="96"/>
      <c r="F63" s="36">
        <f t="shared" si="0"/>
        <v>44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1:17" ht="13.5" customHeight="1">
      <c r="A64" s="96"/>
      <c r="B64" s="4" t="s">
        <v>39</v>
      </c>
      <c r="C64" s="4" t="s">
        <v>39</v>
      </c>
      <c r="D64" s="208"/>
      <c r="E64" s="96"/>
      <c r="F64" s="36">
        <f t="shared" si="0"/>
        <v>45</v>
      </c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1:17" ht="13.5" customHeight="1">
      <c r="A65" s="96"/>
      <c r="B65" s="4" t="s">
        <v>131</v>
      </c>
      <c r="C65" s="4" t="s">
        <v>131</v>
      </c>
      <c r="D65" s="208"/>
      <c r="E65" s="96"/>
      <c r="F65" s="36">
        <f t="shared" si="0"/>
        <v>46</v>
      </c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1:17" ht="13.5" customHeight="1">
      <c r="A66" s="96"/>
      <c r="B66" s="4" t="s">
        <v>251</v>
      </c>
      <c r="C66" s="4" t="s">
        <v>251</v>
      </c>
      <c r="D66" s="208"/>
      <c r="E66" s="96"/>
      <c r="F66" s="36">
        <f t="shared" si="0"/>
        <v>47</v>
      </c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1:17" ht="13.5" customHeight="1">
      <c r="A67" s="96"/>
      <c r="B67" s="4" t="s">
        <v>198</v>
      </c>
      <c r="C67" s="4" t="s">
        <v>198</v>
      </c>
      <c r="D67" s="208"/>
      <c r="E67" s="96"/>
      <c r="F67" s="36">
        <f t="shared" si="0"/>
        <v>48</v>
      </c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1:17" ht="13.5" customHeight="1">
      <c r="A68" s="96"/>
      <c r="B68" s="4" t="s">
        <v>293</v>
      </c>
      <c r="C68" s="4" t="s">
        <v>293</v>
      </c>
      <c r="D68" s="208"/>
      <c r="E68" s="96"/>
      <c r="F68" s="36">
        <f t="shared" si="0"/>
        <v>49</v>
      </c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1:17" ht="13.5" customHeight="1">
      <c r="A69" s="96"/>
      <c r="B69" s="4" t="s">
        <v>200</v>
      </c>
      <c r="C69" s="4" t="s">
        <v>200</v>
      </c>
      <c r="D69" s="208"/>
      <c r="E69" s="96"/>
      <c r="F69" s="36">
        <f t="shared" si="0"/>
        <v>50</v>
      </c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1:17" ht="13.5" customHeight="1">
      <c r="A70" s="96"/>
      <c r="B70" s="4"/>
      <c r="C70" s="4"/>
      <c r="D70" s="208"/>
      <c r="E70" s="96"/>
      <c r="F70" s="36">
        <f t="shared" si="0"/>
        <v>51</v>
      </c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1:17" ht="13.5" customHeight="1">
      <c r="A71" s="96"/>
      <c r="B71" s="4"/>
      <c r="C71" s="4"/>
      <c r="D71" s="208"/>
      <c r="E71" s="96"/>
      <c r="F71" s="36">
        <f t="shared" si="0"/>
        <v>52</v>
      </c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1:17" ht="13.5" customHeight="1">
      <c r="A72" s="96"/>
      <c r="B72" s="4"/>
      <c r="C72" s="4"/>
      <c r="D72" s="208"/>
      <c r="E72" s="96"/>
      <c r="F72" s="36">
        <f t="shared" si="0"/>
        <v>53</v>
      </c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1:17" ht="13.5" customHeight="1">
      <c r="A73" s="96"/>
      <c r="B73" s="4"/>
      <c r="C73" s="4"/>
      <c r="D73" s="208"/>
      <c r="E73" s="96"/>
      <c r="F73" s="36">
        <f t="shared" si="0"/>
        <v>54</v>
      </c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1:17" ht="13.5" customHeight="1">
      <c r="A74" s="96"/>
      <c r="B74" s="4"/>
      <c r="C74" s="4"/>
      <c r="D74" s="4"/>
      <c r="E74" s="96"/>
      <c r="F74" s="36">
        <f t="shared" si="0"/>
        <v>55</v>
      </c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1:17" ht="13.5" customHeight="1">
      <c r="A75" s="96"/>
      <c r="B75" s="230"/>
      <c r="C75" s="230"/>
      <c r="D75" s="4"/>
      <c r="E75" s="96"/>
      <c r="F75" s="36">
        <f t="shared" si="0"/>
        <v>56</v>
      </c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1:17" ht="13.5" customHeight="1">
      <c r="A76" s="96"/>
      <c r="B76" s="230"/>
      <c r="C76" s="230"/>
      <c r="D76" s="4"/>
      <c r="E76" s="96"/>
      <c r="F76" s="36">
        <f t="shared" si="0"/>
        <v>57</v>
      </c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1:17" ht="13.5" customHeight="1">
      <c r="A77" s="96"/>
      <c r="B77" s="4"/>
      <c r="C77" s="4"/>
      <c r="D77" s="4"/>
      <c r="E77" s="96"/>
      <c r="F77" s="36">
        <f t="shared" si="0"/>
        <v>58</v>
      </c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1:17" ht="13.5" customHeight="1">
      <c r="A78" s="96"/>
      <c r="B78" s="4"/>
      <c r="C78" s="4"/>
      <c r="D78" s="4"/>
      <c r="E78" s="96"/>
      <c r="F78" s="36">
        <f t="shared" si="0"/>
        <v>59</v>
      </c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1:17" ht="13.5" customHeight="1">
      <c r="A79" s="96"/>
      <c r="B79" s="4"/>
      <c r="C79" s="4"/>
      <c r="D79" s="4"/>
      <c r="E79" s="96"/>
      <c r="F79" s="36">
        <f t="shared" si="0"/>
        <v>60</v>
      </c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1:17" ht="13.5" customHeight="1">
      <c r="A80" s="96"/>
      <c r="B80" s="4"/>
      <c r="C80" s="4"/>
      <c r="D80" s="4"/>
      <c r="E80" s="96"/>
      <c r="F80" s="36">
        <f t="shared" si="0"/>
        <v>61</v>
      </c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1:17" ht="13.5" customHeight="1">
      <c r="A81" s="96"/>
      <c r="B81" s="128"/>
      <c r="C81" s="128"/>
      <c r="D81" s="4"/>
      <c r="E81" s="96"/>
      <c r="F81" s="36">
        <f t="shared" si="0"/>
        <v>62</v>
      </c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1:17" ht="13.5" customHeight="1">
      <c r="A82" s="96"/>
      <c r="B82" s="4"/>
      <c r="C82" s="4"/>
      <c r="D82" s="4"/>
      <c r="E82" s="96"/>
      <c r="F82" s="36">
        <f t="shared" si="0"/>
        <v>63</v>
      </c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1:17" ht="13.5" customHeight="1">
      <c r="A83" s="96"/>
      <c r="B83" s="4"/>
      <c r="C83" s="4"/>
      <c r="D83" s="4"/>
      <c r="E83" s="96"/>
      <c r="F83" s="36">
        <f t="shared" si="0"/>
        <v>64</v>
      </c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1:17" ht="13.5" customHeight="1">
      <c r="A84" s="96"/>
      <c r="B84" s="4"/>
      <c r="C84" s="4"/>
      <c r="D84" s="4"/>
      <c r="E84" s="96"/>
      <c r="F84" s="36">
        <f t="shared" si="0"/>
        <v>65</v>
      </c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1:17" ht="13.5" customHeight="1">
      <c r="A85" s="96"/>
      <c r="B85" s="4"/>
      <c r="C85" s="4"/>
      <c r="D85" s="4"/>
      <c r="E85" s="96"/>
      <c r="F85" s="36">
        <f aca="true" t="shared" si="1" ref="F85:F130">F84+1</f>
        <v>66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1:17" ht="13.5" customHeight="1">
      <c r="A86" s="96"/>
      <c r="B86" s="4"/>
      <c r="C86" s="4"/>
      <c r="D86" s="4"/>
      <c r="E86" s="96"/>
      <c r="F86" s="36">
        <f t="shared" si="1"/>
        <v>67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1:17" ht="13.5" customHeight="1">
      <c r="A87" s="96"/>
      <c r="B87" s="4"/>
      <c r="C87" s="4"/>
      <c r="D87" s="4"/>
      <c r="E87" s="96"/>
      <c r="F87" s="36">
        <f t="shared" si="1"/>
        <v>68</v>
      </c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1:17" ht="13.5" customHeight="1">
      <c r="A88" s="96"/>
      <c r="B88" s="4"/>
      <c r="C88" s="4"/>
      <c r="D88" s="4"/>
      <c r="E88" s="96"/>
      <c r="F88" s="36">
        <f t="shared" si="1"/>
        <v>69</v>
      </c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1:17" ht="13.5" customHeight="1">
      <c r="A89" s="96"/>
      <c r="B89" s="4"/>
      <c r="C89" s="4"/>
      <c r="D89" s="4"/>
      <c r="E89" s="96"/>
      <c r="F89" s="36">
        <f t="shared" si="1"/>
        <v>70</v>
      </c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1:17" ht="13.5" customHeight="1">
      <c r="A90" s="96"/>
      <c r="B90" s="4"/>
      <c r="C90" s="4"/>
      <c r="D90" s="4"/>
      <c r="E90" s="96"/>
      <c r="F90" s="36">
        <f t="shared" si="1"/>
        <v>71</v>
      </c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1:17" ht="13.5" customHeight="1">
      <c r="A91" s="96"/>
      <c r="B91" s="4"/>
      <c r="C91" s="4"/>
      <c r="D91" s="4"/>
      <c r="E91" s="96"/>
      <c r="F91" s="36">
        <f t="shared" si="1"/>
        <v>72</v>
      </c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1:17" ht="13.5" customHeight="1">
      <c r="A92" s="96"/>
      <c r="B92" s="4"/>
      <c r="C92" s="4"/>
      <c r="D92" s="4"/>
      <c r="E92" s="96"/>
      <c r="F92" s="36">
        <f t="shared" si="1"/>
        <v>73</v>
      </c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1:17" ht="13.5" customHeight="1">
      <c r="A93" s="96"/>
      <c r="B93" s="4"/>
      <c r="C93" s="4"/>
      <c r="D93" s="4"/>
      <c r="E93" s="96"/>
      <c r="F93" s="36">
        <f t="shared" si="1"/>
        <v>74</v>
      </c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1:17" ht="13.5" customHeight="1">
      <c r="A94" s="96"/>
      <c r="B94" s="4"/>
      <c r="C94" s="4"/>
      <c r="D94" s="4"/>
      <c r="E94" s="96"/>
      <c r="F94" s="36">
        <f t="shared" si="1"/>
        <v>75</v>
      </c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1:17" ht="13.5" customHeight="1">
      <c r="A95" s="96"/>
      <c r="B95" s="4"/>
      <c r="C95" s="4"/>
      <c r="D95" s="4"/>
      <c r="E95" s="96"/>
      <c r="F95" s="36">
        <f t="shared" si="1"/>
        <v>76</v>
      </c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1:17" ht="13.5" customHeight="1">
      <c r="A96" s="96"/>
      <c r="B96" s="4"/>
      <c r="C96" s="4"/>
      <c r="D96" s="4"/>
      <c r="E96" s="96"/>
      <c r="F96" s="36">
        <f t="shared" si="1"/>
        <v>77</v>
      </c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1:17" ht="13.5" customHeight="1">
      <c r="A97" s="96"/>
      <c r="B97" s="4"/>
      <c r="C97" s="4"/>
      <c r="D97" s="4"/>
      <c r="E97" s="96"/>
      <c r="F97" s="36">
        <f t="shared" si="1"/>
        <v>78</v>
      </c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13.5" customHeight="1">
      <c r="A98" s="96"/>
      <c r="B98" s="4"/>
      <c r="C98" s="4"/>
      <c r="D98" s="4"/>
      <c r="E98" s="96"/>
      <c r="F98" s="36">
        <f t="shared" si="1"/>
        <v>79</v>
      </c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3.5" customHeight="1">
      <c r="A99" s="96"/>
      <c r="B99" s="4"/>
      <c r="C99" s="4"/>
      <c r="D99" s="4"/>
      <c r="E99" s="96"/>
      <c r="F99" s="36">
        <f t="shared" si="1"/>
        <v>80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1:17" ht="13.5" customHeight="1">
      <c r="A100" s="96"/>
      <c r="B100" s="4"/>
      <c r="C100" s="4"/>
      <c r="D100" s="4"/>
      <c r="E100" s="96"/>
      <c r="F100" s="36">
        <f t="shared" si="1"/>
        <v>81</v>
      </c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1:17" ht="13.5" customHeight="1">
      <c r="A101" s="96"/>
      <c r="B101" s="4"/>
      <c r="C101" s="4"/>
      <c r="D101" s="4"/>
      <c r="E101" s="96"/>
      <c r="F101" s="36">
        <f t="shared" si="1"/>
        <v>82</v>
      </c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1:17" ht="13.5" customHeight="1">
      <c r="A102" s="96"/>
      <c r="B102" s="4"/>
      <c r="C102" s="4"/>
      <c r="D102" s="4"/>
      <c r="E102" s="96"/>
      <c r="F102" s="36">
        <f t="shared" si="1"/>
        <v>83</v>
      </c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1:17" ht="13.5" customHeight="1">
      <c r="A103" s="96"/>
      <c r="B103" s="4"/>
      <c r="C103" s="4"/>
      <c r="D103" s="4"/>
      <c r="E103" s="96"/>
      <c r="F103" s="36">
        <f t="shared" si="1"/>
        <v>84</v>
      </c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1:17" ht="13.5" customHeight="1">
      <c r="A104" s="96"/>
      <c r="B104" s="4"/>
      <c r="C104" s="4"/>
      <c r="D104" s="4"/>
      <c r="E104" s="96"/>
      <c r="F104" s="36">
        <f t="shared" si="1"/>
        <v>85</v>
      </c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1:17" ht="13.5" customHeight="1">
      <c r="A105" s="96"/>
      <c r="B105" s="4"/>
      <c r="C105" s="4"/>
      <c r="D105" s="4"/>
      <c r="E105" s="96"/>
      <c r="F105" s="36">
        <f t="shared" si="1"/>
        <v>86</v>
      </c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1:17" ht="13.5" customHeight="1">
      <c r="A106" s="96"/>
      <c r="B106" s="4"/>
      <c r="C106" s="4"/>
      <c r="D106" s="4"/>
      <c r="E106" s="96"/>
      <c r="F106" s="36">
        <f t="shared" si="1"/>
        <v>87</v>
      </c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1:17" ht="13.5" customHeight="1">
      <c r="A107" s="96"/>
      <c r="B107" s="4"/>
      <c r="C107" s="4"/>
      <c r="D107" s="4"/>
      <c r="E107" s="96"/>
      <c r="F107" s="36">
        <f t="shared" si="1"/>
        <v>88</v>
      </c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1:17" ht="13.5" customHeight="1">
      <c r="A108" s="96"/>
      <c r="B108" s="4"/>
      <c r="C108" s="4"/>
      <c r="D108" s="4"/>
      <c r="E108" s="96"/>
      <c r="F108" s="36">
        <f t="shared" si="1"/>
        <v>89</v>
      </c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1:17" ht="13.5" customHeight="1">
      <c r="A109" s="96"/>
      <c r="B109" s="4"/>
      <c r="C109" s="4"/>
      <c r="D109" s="4"/>
      <c r="E109" s="96"/>
      <c r="F109" s="36">
        <f t="shared" si="1"/>
        <v>90</v>
      </c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1:17" ht="13.5" customHeight="1">
      <c r="A110" s="96"/>
      <c r="B110" s="4"/>
      <c r="C110" s="4"/>
      <c r="D110" s="4"/>
      <c r="E110" s="96"/>
      <c r="F110" s="36">
        <f t="shared" si="1"/>
        <v>91</v>
      </c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1:17" ht="13.5" customHeight="1">
      <c r="A111" s="96"/>
      <c r="B111" s="4"/>
      <c r="C111" s="4"/>
      <c r="D111" s="4"/>
      <c r="E111" s="96"/>
      <c r="F111" s="36">
        <f t="shared" si="1"/>
        <v>92</v>
      </c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1:17" ht="13.5" customHeight="1">
      <c r="A112" s="96"/>
      <c r="B112" s="4"/>
      <c r="C112" s="4"/>
      <c r="D112" s="4"/>
      <c r="E112" s="96"/>
      <c r="F112" s="36">
        <f t="shared" si="1"/>
        <v>93</v>
      </c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1:17" ht="13.5" customHeight="1">
      <c r="A113" s="96"/>
      <c r="B113" s="4"/>
      <c r="C113" s="4"/>
      <c r="D113" s="4"/>
      <c r="E113" s="96"/>
      <c r="F113" s="36">
        <f t="shared" si="1"/>
        <v>94</v>
      </c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1:17" ht="13.5" customHeight="1">
      <c r="A114" s="96"/>
      <c r="B114" s="96"/>
      <c r="C114" s="96"/>
      <c r="D114" s="4"/>
      <c r="E114" s="96"/>
      <c r="F114" s="36">
        <f t="shared" si="1"/>
        <v>95</v>
      </c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1:17" ht="13.5" customHeight="1">
      <c r="A115" s="96"/>
      <c r="D115" s="4"/>
      <c r="E115" s="96"/>
      <c r="F115" s="36">
        <f t="shared" si="1"/>
        <v>96</v>
      </c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1:17" ht="13.5" customHeight="1">
      <c r="A116" s="96"/>
      <c r="D116" s="4"/>
      <c r="E116" s="96"/>
      <c r="F116" s="36">
        <f t="shared" si="1"/>
        <v>97</v>
      </c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1:17" ht="13.5" customHeight="1">
      <c r="A117" s="96"/>
      <c r="D117" s="4"/>
      <c r="E117" s="96"/>
      <c r="F117" s="36">
        <f t="shared" si="1"/>
        <v>98</v>
      </c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1:17" ht="13.5" customHeight="1">
      <c r="A118" s="96"/>
      <c r="D118" s="4"/>
      <c r="E118" s="96"/>
      <c r="F118" s="36">
        <f t="shared" si="1"/>
        <v>99</v>
      </c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1:17" ht="13.5" customHeight="1">
      <c r="A119" s="96"/>
      <c r="D119" s="4"/>
      <c r="E119" s="96"/>
      <c r="F119" s="36">
        <f t="shared" si="1"/>
        <v>100</v>
      </c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1:17" ht="13.5" customHeight="1">
      <c r="A120" s="96"/>
      <c r="D120" s="4"/>
      <c r="E120" s="96"/>
      <c r="F120" s="36">
        <f t="shared" si="1"/>
        <v>101</v>
      </c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1:17" ht="13.5" customHeight="1">
      <c r="A121" s="96"/>
      <c r="D121" s="4"/>
      <c r="E121" s="96"/>
      <c r="F121" s="36">
        <f t="shared" si="1"/>
        <v>102</v>
      </c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1:17" ht="13.5" customHeight="1">
      <c r="A122" s="96"/>
      <c r="D122" s="4"/>
      <c r="E122" s="96"/>
      <c r="F122" s="36">
        <f t="shared" si="1"/>
        <v>103</v>
      </c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1:17" ht="13.5" customHeight="1">
      <c r="A123" s="96"/>
      <c r="D123" s="4"/>
      <c r="E123" s="96"/>
      <c r="F123" s="36">
        <f t="shared" si="1"/>
        <v>104</v>
      </c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1:17" ht="13.5" customHeight="1">
      <c r="A124" s="96"/>
      <c r="D124" s="4"/>
      <c r="E124" s="96"/>
      <c r="F124" s="36">
        <f t="shared" si="1"/>
        <v>105</v>
      </c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1:17" ht="13.5" customHeight="1">
      <c r="A125" s="96"/>
      <c r="D125" s="4"/>
      <c r="E125" s="96"/>
      <c r="F125" s="36">
        <f t="shared" si="1"/>
        <v>106</v>
      </c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1:17" ht="13.5" customHeight="1">
      <c r="A126" s="96"/>
      <c r="D126" s="4"/>
      <c r="E126" s="96"/>
      <c r="F126" s="36">
        <f t="shared" si="1"/>
        <v>107</v>
      </c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1:17" ht="13.5" customHeight="1">
      <c r="A127" s="96"/>
      <c r="D127" s="4"/>
      <c r="E127" s="96"/>
      <c r="F127" s="36">
        <f t="shared" si="1"/>
        <v>108</v>
      </c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1:17" ht="13.5" customHeight="1">
      <c r="A128" s="96"/>
      <c r="D128" s="4"/>
      <c r="E128" s="96"/>
      <c r="F128" s="36">
        <f t="shared" si="1"/>
        <v>109</v>
      </c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1:17" ht="13.5" customHeight="1">
      <c r="A129" s="96"/>
      <c r="D129" s="4"/>
      <c r="E129" s="96"/>
      <c r="F129" s="36">
        <f t="shared" si="1"/>
        <v>110</v>
      </c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1:17" ht="13.5" customHeight="1">
      <c r="A130" s="96"/>
      <c r="D130" s="4"/>
      <c r="E130" s="96"/>
      <c r="F130" s="36">
        <f t="shared" si="1"/>
        <v>111</v>
      </c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1:17" ht="13.5" customHeight="1">
      <c r="A131" s="96"/>
      <c r="D131" s="4"/>
      <c r="E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1:17" ht="13.5" customHeight="1">
      <c r="A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1:17" ht="13.5" customHeight="1">
      <c r="A133" s="96"/>
      <c r="E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8:9" ht="13.5" customHeight="1">
      <c r="H134" s="96"/>
      <c r="I134" s="96"/>
    </row>
    <row r="135" spans="8:9" ht="13.5" customHeight="1">
      <c r="H135" s="96"/>
      <c r="I135" s="96"/>
    </row>
    <row r="136" spans="8:9" ht="13.5" customHeight="1">
      <c r="H136" s="96"/>
      <c r="I136" s="96"/>
    </row>
    <row r="137" spans="8:9" ht="13.5" customHeight="1">
      <c r="H137" s="96"/>
      <c r="I137" s="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565"/>
  <sheetViews>
    <sheetView showGridLines="0" tabSelected="1" zoomScale="70" zoomScaleNormal="70" zoomScalePageLayoutView="25" workbookViewId="0" topLeftCell="A2">
      <pane ySplit="10" topLeftCell="A12" activePane="bottomLeft" state="frozen"/>
      <selection pane="topLeft" activeCell="A2" sqref="A2"/>
      <selection pane="bottomLeft" activeCell="A2" sqref="A2"/>
    </sheetView>
  </sheetViews>
  <sheetFormatPr defaultColWidth="1.7109375" defaultRowHeight="13.5" customHeight="1"/>
  <cols>
    <col min="1" max="2" width="2.7109375" style="44" customWidth="1"/>
    <col min="3" max="3" width="62.7109375" style="44" hidden="1" customWidth="1"/>
    <col min="4" max="4" width="39.7109375" style="44" customWidth="1"/>
    <col min="5" max="5" width="77.00390625" style="44" customWidth="1"/>
    <col min="6" max="6" width="2.7109375" style="44" customWidth="1"/>
    <col min="7" max="7" width="12.7109375" style="44" hidden="1" customWidth="1"/>
    <col min="8" max="8" width="12.7109375" style="44" customWidth="1"/>
    <col min="9" max="10" width="12.7109375" style="44" hidden="1" customWidth="1"/>
    <col min="11" max="12" width="12.7109375" style="44" customWidth="1"/>
    <col min="13" max="13" width="2.7109375" style="44" customWidth="1"/>
    <col min="14" max="17" width="12.7109375" style="44" customWidth="1"/>
    <col min="18" max="18" width="2.7109375" style="44" customWidth="1"/>
    <col min="19" max="19" width="55.28125" style="44" customWidth="1"/>
    <col min="20" max="20" width="2.7109375" style="44" hidden="1" customWidth="1"/>
    <col min="21" max="21" width="17.7109375" style="44" hidden="1" customWidth="1"/>
    <col min="22" max="22" width="2.7109375" style="44" hidden="1" customWidth="1"/>
    <col min="23" max="26" width="12.7109375" style="44" hidden="1" customWidth="1"/>
    <col min="27" max="27" width="2.7109375" style="44" customWidth="1"/>
    <col min="28" max="28" width="2.7109375" style="65" customWidth="1"/>
    <col min="29" max="29" width="1.7109375" style="44" customWidth="1"/>
    <col min="30" max="30" width="22.7109375" style="44" customWidth="1"/>
    <col min="31" max="31" width="2.140625" style="44" customWidth="1"/>
    <col min="32" max="39" width="1.7109375" style="44" customWidth="1"/>
    <col min="40" max="16384" width="1.7109375" style="44" customWidth="1"/>
  </cols>
  <sheetData>
    <row r="1" spans="1:28" ht="19.5" customHeight="1" hidden="1">
      <c r="A1" s="39"/>
      <c r="B1" s="39"/>
      <c r="C1" s="39"/>
      <c r="D1" s="39"/>
      <c r="E1" s="39" t="s">
        <v>45</v>
      </c>
      <c r="F1" s="39"/>
      <c r="G1" s="39"/>
      <c r="H1" s="39"/>
      <c r="I1" s="39"/>
      <c r="J1" s="39"/>
      <c r="K1" s="39"/>
      <c r="L1" s="39" t="s">
        <v>72</v>
      </c>
      <c r="M1" s="39"/>
      <c r="N1" s="39">
        <f>N5</f>
        <v>2017</v>
      </c>
      <c r="O1" s="39" t="s">
        <v>73</v>
      </c>
      <c r="P1" s="39" t="s">
        <v>74</v>
      </c>
      <c r="Q1" s="39" t="s">
        <v>75</v>
      </c>
      <c r="R1" s="39"/>
      <c r="S1" s="39"/>
      <c r="T1" s="39"/>
      <c r="U1" s="39">
        <f>SUM(W1:Z1)+SUM(W5:W9)</f>
        <v>400</v>
      </c>
      <c r="V1" s="39"/>
      <c r="W1" s="39">
        <f>SUM(W25:W464)</f>
        <v>94</v>
      </c>
      <c r="X1" s="39">
        <f>SUM(X25:X464)</f>
        <v>103</v>
      </c>
      <c r="Y1" s="39">
        <f>SUM(Y25:Y464)</f>
        <v>99</v>
      </c>
      <c r="Z1" s="39">
        <f>SUM(Z25:Z464)</f>
        <v>99</v>
      </c>
      <c r="AA1" s="39"/>
      <c r="AB1" s="63"/>
    </row>
    <row r="2" spans="1:28" ht="13.5" customHeight="1">
      <c r="A2" s="48"/>
      <c r="B2" s="48"/>
      <c r="C2" s="48"/>
      <c r="D2" s="50"/>
      <c r="E2" s="53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52"/>
    </row>
    <row r="3" spans="1:28" ht="45" customHeight="1">
      <c r="A3" s="48"/>
      <c r="B3" s="53" t="s">
        <v>78</v>
      </c>
      <c r="C3" s="48"/>
      <c r="D3" s="53"/>
      <c r="E3" s="53"/>
      <c r="F3" s="48"/>
      <c r="G3" s="236"/>
      <c r="H3" s="236"/>
      <c r="I3" s="236"/>
      <c r="J3" s="236"/>
      <c r="K3" s="236"/>
      <c r="L3" s="232"/>
      <c r="M3" s="232"/>
      <c r="N3" s="231"/>
      <c r="O3" s="232"/>
      <c r="P3" s="232"/>
      <c r="Q3" s="233"/>
      <c r="R3" s="48"/>
      <c r="S3" s="175" t="s">
        <v>80</v>
      </c>
      <c r="T3" s="48"/>
      <c r="U3" s="52"/>
      <c r="V3" s="49"/>
      <c r="W3" s="93" t="str">
        <f>L5</f>
        <v>2Q18</v>
      </c>
      <c r="X3" s="93" t="str">
        <f>O5</f>
        <v>2018 E</v>
      </c>
      <c r="Y3" s="93" t="str">
        <f>P5</f>
        <v>2019 E</v>
      </c>
      <c r="Z3" s="93" t="str">
        <f>Q5</f>
        <v>2020 E</v>
      </c>
      <c r="AA3" s="48"/>
      <c r="AB3" s="52"/>
    </row>
    <row r="4" spans="1:28" ht="13.5" customHeight="1">
      <c r="A4" s="48"/>
      <c r="B4" s="48"/>
      <c r="C4" s="48"/>
      <c r="D4" s="53"/>
      <c r="E4" s="53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9"/>
      <c r="W4" s="49"/>
      <c r="X4" s="49"/>
      <c r="Y4" s="49"/>
      <c r="Z4" s="49"/>
      <c r="AA4" s="48"/>
      <c r="AB4" s="52"/>
    </row>
    <row r="5" spans="1:28" ht="13.5" customHeight="1">
      <c r="A5" s="48"/>
      <c r="B5" s="48"/>
      <c r="C5" s="76" t="str">
        <f>"General – "&amp;D5</f>
        <v>General – Primary Analyst</v>
      </c>
      <c r="D5" s="95" t="s">
        <v>31</v>
      </c>
      <c r="E5" s="92"/>
      <c r="F5" s="48"/>
      <c r="G5" s="478" t="s">
        <v>252</v>
      </c>
      <c r="H5" s="478" t="s">
        <v>271</v>
      </c>
      <c r="I5" s="478" t="s">
        <v>285</v>
      </c>
      <c r="J5" s="478" t="s">
        <v>287</v>
      </c>
      <c r="K5" s="478" t="s">
        <v>296</v>
      </c>
      <c r="L5" s="478" t="s">
        <v>301</v>
      </c>
      <c r="M5" s="49"/>
      <c r="N5" s="484">
        <v>2017</v>
      </c>
      <c r="O5" s="484" t="str">
        <f>N5+1&amp;" E"</f>
        <v>2018 E</v>
      </c>
      <c r="P5" s="484" t="str">
        <f>N5+2&amp;" E"</f>
        <v>2019 E</v>
      </c>
      <c r="Q5" s="484" t="str">
        <f>N5+3&amp;" E"</f>
        <v>2020 E</v>
      </c>
      <c r="R5" s="49"/>
      <c r="S5" s="480" t="s">
        <v>79</v>
      </c>
      <c r="T5" s="49"/>
      <c r="U5" s="480" t="s">
        <v>61</v>
      </c>
      <c r="V5" s="48"/>
      <c r="W5" s="37">
        <f>IF(ISBLANK(E5),1,0)</f>
        <v>1</v>
      </c>
      <c r="X5" s="48"/>
      <c r="Y5" s="48"/>
      <c r="Z5" s="48"/>
      <c r="AA5" s="48"/>
      <c r="AB5" s="52"/>
    </row>
    <row r="6" spans="1:28" ht="13.5" customHeight="1">
      <c r="A6" s="48"/>
      <c r="B6" s="48"/>
      <c r="C6" s="76" t="str">
        <f>"General – "&amp;D6</f>
        <v>General – Backup Analyst</v>
      </c>
      <c r="D6" s="95" t="s">
        <v>30</v>
      </c>
      <c r="E6" s="92"/>
      <c r="F6" s="48"/>
      <c r="G6" s="479"/>
      <c r="H6" s="479"/>
      <c r="I6" s="479"/>
      <c r="J6" s="479"/>
      <c r="K6" s="479"/>
      <c r="L6" s="479"/>
      <c r="M6" s="49"/>
      <c r="N6" s="485"/>
      <c r="O6" s="485"/>
      <c r="P6" s="485"/>
      <c r="Q6" s="485"/>
      <c r="R6" s="49"/>
      <c r="S6" s="481"/>
      <c r="T6" s="49"/>
      <c r="U6" s="481"/>
      <c r="V6" s="48"/>
      <c r="W6" s="37">
        <f>IF(ISBLANK(E6),1,0)</f>
        <v>1</v>
      </c>
      <c r="X6" s="48"/>
      <c r="Y6" s="48"/>
      <c r="Z6" s="48"/>
      <c r="AA6" s="48"/>
      <c r="AB6" s="52"/>
    </row>
    <row r="7" spans="1:28" ht="13.5" customHeight="1">
      <c r="A7" s="48"/>
      <c r="B7" s="48"/>
      <c r="C7" s="76" t="str">
        <f>"General – "&amp;D7</f>
        <v>General – Institution</v>
      </c>
      <c r="D7" s="95" t="s">
        <v>29</v>
      </c>
      <c r="E7" s="92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37">
        <f>IF(ISBLANK(E7),1,0)</f>
        <v>1</v>
      </c>
      <c r="X7" s="49"/>
      <c r="Y7" s="49"/>
      <c r="Z7" s="49"/>
      <c r="AA7" s="48"/>
      <c r="AB7" s="52"/>
    </row>
    <row r="8" spans="1:28" ht="13.5" customHeight="1">
      <c r="A8" s="48"/>
      <c r="B8" s="48"/>
      <c r="C8" s="76" t="s">
        <v>124</v>
      </c>
      <c r="D8" s="95" t="s">
        <v>125</v>
      </c>
      <c r="E8" s="92"/>
      <c r="F8" s="48"/>
      <c r="G8" s="476" t="s">
        <v>27</v>
      </c>
      <c r="H8" s="476" t="s">
        <v>27</v>
      </c>
      <c r="I8" s="476" t="s">
        <v>27</v>
      </c>
      <c r="J8" s="476" t="s">
        <v>27</v>
      </c>
      <c r="K8" s="476" t="s">
        <v>27</v>
      </c>
      <c r="L8" s="482" t="str">
        <f>IF(W1=0,"ü","û")</f>
        <v>û</v>
      </c>
      <c r="M8" s="48"/>
      <c r="N8" s="476" t="s">
        <v>27</v>
      </c>
      <c r="O8" s="482" t="str">
        <f>IF(X1=0,"ü","û")</f>
        <v>û</v>
      </c>
      <c r="P8" s="482" t="str">
        <f>IF(Y1=0,"ü","û")</f>
        <v>û</v>
      </c>
      <c r="Q8" s="482" t="str">
        <f>IF(Z1=0,"ü","û")</f>
        <v>û</v>
      </c>
      <c r="R8" s="48"/>
      <c r="S8" s="486" t="str">
        <f>IF(U1=0,"Thank you for filling in all required fields","Please fill in all required fields correctly")</f>
        <v>Please fill in all required fields correctly</v>
      </c>
      <c r="T8" s="48"/>
      <c r="U8" s="48"/>
      <c r="V8" s="48"/>
      <c r="W8" s="37">
        <f>IF(ISBLANK(E8),1,0)</f>
        <v>1</v>
      </c>
      <c r="X8" s="48"/>
      <c r="Y8" s="48"/>
      <c r="Z8" s="48"/>
      <c r="AA8" s="48"/>
      <c r="AB8" s="52"/>
    </row>
    <row r="9" spans="1:28" ht="13.5" customHeight="1">
      <c r="A9" s="48"/>
      <c r="B9" s="48"/>
      <c r="C9" s="76" t="s">
        <v>120</v>
      </c>
      <c r="D9" s="95" t="s">
        <v>121</v>
      </c>
      <c r="E9" s="92"/>
      <c r="F9" s="48"/>
      <c r="G9" s="477"/>
      <c r="H9" s="477"/>
      <c r="I9" s="477"/>
      <c r="J9" s="477"/>
      <c r="K9" s="477"/>
      <c r="L9" s="483"/>
      <c r="M9" s="49"/>
      <c r="N9" s="477"/>
      <c r="O9" s="483"/>
      <c r="P9" s="483"/>
      <c r="Q9" s="483"/>
      <c r="R9" s="49"/>
      <c r="S9" s="487"/>
      <c r="T9" s="48"/>
      <c r="U9" s="48"/>
      <c r="V9" s="48"/>
      <c r="W9" s="37">
        <f>IF(ISBLANK(E9),1,0)</f>
        <v>1</v>
      </c>
      <c r="X9" s="48"/>
      <c r="Y9" s="48"/>
      <c r="Z9" s="48"/>
      <c r="AA9" s="48"/>
      <c r="AB9" s="52"/>
    </row>
    <row r="10" spans="1:28" ht="13.5" customHeight="1">
      <c r="A10" s="48"/>
      <c r="B10" s="48"/>
      <c r="C10" s="48"/>
      <c r="D10" s="51"/>
      <c r="E10" s="51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52"/>
    </row>
    <row r="11" spans="1:28" ht="11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 ht="11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27" customHeight="1">
      <c r="A13" s="1"/>
      <c r="B13" s="66"/>
      <c r="C13" s="67"/>
      <c r="D13" s="68" t="s">
        <v>28</v>
      </c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70"/>
      <c r="AB13" s="47"/>
    </row>
    <row r="14" spans="1:28" ht="13.5" customHeight="1">
      <c r="A14" s="1"/>
      <c r="B14" s="72"/>
      <c r="C14" s="25"/>
      <c r="D14" s="210" t="s">
        <v>71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71"/>
      <c r="AB14" s="47"/>
    </row>
    <row r="15" spans="1:28" ht="13.5" customHeight="1">
      <c r="A15" s="1"/>
      <c r="B15" s="72"/>
      <c r="C15" s="25"/>
      <c r="D15" s="210" t="s">
        <v>104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71"/>
      <c r="AB15" s="47"/>
    </row>
    <row r="16" spans="1:28" ht="13.5" customHeight="1">
      <c r="A16" s="1"/>
      <c r="B16" s="72"/>
      <c r="C16" s="25"/>
      <c r="D16" s="210" t="s">
        <v>113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71"/>
      <c r="AB16" s="47"/>
    </row>
    <row r="17" spans="1:28" ht="13.5" customHeight="1">
      <c r="A17" s="1"/>
      <c r="B17" s="72"/>
      <c r="C17" s="25"/>
      <c r="D17" s="210" t="s">
        <v>59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71"/>
      <c r="AB17" s="47"/>
    </row>
    <row r="18" spans="1:28" ht="13.5" customHeight="1">
      <c r="A18" s="1"/>
      <c r="B18" s="72"/>
      <c r="C18" s="25"/>
      <c r="D18" s="210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71"/>
      <c r="AB18" s="47"/>
    </row>
    <row r="19" spans="1:28" ht="13.5" customHeight="1">
      <c r="A19" s="1"/>
      <c r="B19" s="72"/>
      <c r="C19" s="25"/>
      <c r="D19" s="210" t="s">
        <v>133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71"/>
      <c r="AB19" s="47"/>
    </row>
    <row r="20" spans="1:28" ht="13.5" customHeight="1">
      <c r="A20" s="1"/>
      <c r="B20" s="72"/>
      <c r="C20" s="25"/>
      <c r="D20" s="210" t="s">
        <v>134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71"/>
      <c r="AB20" s="47"/>
    </row>
    <row r="21" spans="1:28" ht="13.5" customHeight="1">
      <c r="A21" s="1"/>
      <c r="B21" s="72"/>
      <c r="C21" s="25"/>
      <c r="D21" s="210" t="s">
        <v>135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71"/>
      <c r="AB21" s="47"/>
    </row>
    <row r="22" spans="1:28" ht="13.5" customHeight="1">
      <c r="A22" s="1"/>
      <c r="B22" s="72"/>
      <c r="C22" s="25"/>
      <c r="D22" s="210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71"/>
      <c r="AB22" s="47"/>
    </row>
    <row r="23" spans="1:28" ht="13.5" customHeight="1">
      <c r="A23" s="1"/>
      <c r="B23" s="72"/>
      <c r="C23" s="25"/>
      <c r="D23" s="210" t="s">
        <v>132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71"/>
      <c r="AB23" s="47"/>
    </row>
    <row r="24" spans="1:28" ht="13.5" customHeight="1">
      <c r="A24" s="1"/>
      <c r="B24" s="125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5"/>
      <c r="AB24" s="47"/>
    </row>
    <row r="25" spans="1:28" ht="13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27" customHeight="1">
      <c r="A26" s="1"/>
      <c r="B26" s="66"/>
      <c r="C26" s="121" t="s">
        <v>142</v>
      </c>
      <c r="D26" s="68" t="s">
        <v>68</v>
      </c>
      <c r="E26" s="120"/>
      <c r="F26" s="69"/>
      <c r="G26" s="69"/>
      <c r="H26" s="69"/>
      <c r="I26" s="69"/>
      <c r="J26" s="69"/>
      <c r="K26" s="69"/>
      <c r="L26" s="133"/>
      <c r="M26" s="134"/>
      <c r="N26" s="134"/>
      <c r="O26" s="133">
        <f>IF(O$27="No","–",IF(INDEX(CS_CONS_LINK_ARRAY,MATCH($C26,CS_CONS_LINK_COLUMN,0),MATCH(O$1,CS_CONS_LINK_ROW,0))="","",INDEX(CS_CONS_LINK_ARRAY,MATCH($C26,CS_CONS_LINK_COLUMN,0),MATCH(O$1,CS_CONS_LINK_ROW,0))))</f>
      </c>
      <c r="P26" s="133">
        <f>IF(P$27="No","–",IF(INDEX(CS_CONS_LINK_ARRAY,MATCH($C26,CS_CONS_LINK_COLUMN,0),MATCH(P$1,CS_CONS_LINK_ROW,0))="","",INDEX(CS_CONS_LINK_ARRAY,MATCH($C26,CS_CONS_LINK_COLUMN,0),MATCH(P$1,CS_CONS_LINK_ROW,0))))</f>
      </c>
      <c r="Q26" s="133">
        <f>IF(Q$27="No","–",IF(INDEX(CS_CONS_LINK_ARRAY,MATCH($C26,CS_CONS_LINK_COLUMN,0),MATCH(Q$1,CS_CONS_LINK_ROW,0))="","",INDEX(CS_CONS_LINK_ARRAY,MATCH($C26,CS_CONS_LINK_COLUMN,0),MATCH(Q$1,CS_CONS_LINK_ROW,0))))</f>
      </c>
      <c r="R26" s="69"/>
      <c r="S26" s="69"/>
      <c r="T26" s="69"/>
      <c r="U26" s="119"/>
      <c r="V26" s="69"/>
      <c r="W26" s="122">
        <f>IF(ISERROR(L26),1,IF(L26="",1,0))</f>
        <v>1</v>
      </c>
      <c r="X26" s="122">
        <f aca="true" t="shared" si="0" ref="X26:Z27">IF(ISERROR(O26),1,IF(O26="",1,0))</f>
        <v>1</v>
      </c>
      <c r="Y26" s="122">
        <f t="shared" si="0"/>
        <v>1</v>
      </c>
      <c r="Z26" s="122">
        <f t="shared" si="0"/>
        <v>1</v>
      </c>
      <c r="AA26" s="70"/>
      <c r="AB26" s="47"/>
    </row>
    <row r="27" spans="1:31" ht="27" customHeight="1">
      <c r="A27" s="1"/>
      <c r="B27" s="66"/>
      <c r="C27" s="121" t="s">
        <v>69</v>
      </c>
      <c r="D27" s="68" t="s">
        <v>69</v>
      </c>
      <c r="E27" s="120"/>
      <c r="F27" s="69"/>
      <c r="G27" s="69"/>
      <c r="H27" s="69"/>
      <c r="I27" s="69"/>
      <c r="J27" s="69"/>
      <c r="K27" s="69"/>
      <c r="L27" s="133" t="str">
        <f>IF(INDEX(CS_CONS_LINK_ARRAY,MATCH($C27,CS_CONS_LINK_COLUMN,0),MATCH(L$1,CS_CONS_LINK_ROW,0))="","",INDEX(CS_CONS_LINK_ARRAY,MATCH($C27,CS_CONS_LINK_COLUMN,0),MATCH(L$1,CS_CONS_LINK_ROW,0)))</f>
        <v>Yes</v>
      </c>
      <c r="M27" s="134"/>
      <c r="N27" s="134"/>
      <c r="O27" s="133" t="str">
        <f>IF(INDEX(CS_CONS_LINK_ARRAY,MATCH($C27,CS_CONS_LINK_COLUMN,0),MATCH(O$1,CS_CONS_LINK_ROW,0))="","",INDEX(CS_CONS_LINK_ARRAY,MATCH($C27,CS_CONS_LINK_COLUMN,0),MATCH(O$1,CS_CONS_LINK_ROW,0)))</f>
        <v>Yes</v>
      </c>
      <c r="P27" s="133" t="str">
        <f>IF(INDEX(CS_CONS_LINK_ARRAY,MATCH($C27,CS_CONS_LINK_COLUMN,0),MATCH(P$1,CS_CONS_LINK_ROW,0))="","",INDEX(CS_CONS_LINK_ARRAY,MATCH($C27,CS_CONS_LINK_COLUMN,0),MATCH(P$1,CS_CONS_LINK_ROW,0)))</f>
        <v>Yes</v>
      </c>
      <c r="Q27" s="133" t="str">
        <f>IF(INDEX(CS_CONS_LINK_ARRAY,MATCH($C27,CS_CONS_LINK_COLUMN,0),MATCH(Q$1,CS_CONS_LINK_ROW,0))="","",INDEX(CS_CONS_LINK_ARRAY,MATCH($C27,CS_CONS_LINK_COLUMN,0),MATCH(Q$1,CS_CONS_LINK_ROW,0)))</f>
        <v>Yes</v>
      </c>
      <c r="R27" s="69"/>
      <c r="S27" s="69"/>
      <c r="T27" s="69"/>
      <c r="U27" s="119"/>
      <c r="V27" s="69"/>
      <c r="W27" s="122">
        <f>IF(ISERROR(L27),1,IF(L27="",1,0))</f>
        <v>0</v>
      </c>
      <c r="X27" s="122">
        <f>IF(ISERROR(O27),1,IF(O27="",1,0))</f>
        <v>0</v>
      </c>
      <c r="Y27" s="122">
        <f t="shared" si="0"/>
        <v>0</v>
      </c>
      <c r="Z27" s="122">
        <f t="shared" si="0"/>
        <v>0</v>
      </c>
      <c r="AA27" s="70"/>
      <c r="AB27" s="47"/>
      <c r="AD27" s="469"/>
      <c r="AE27" s="469"/>
    </row>
    <row r="28" spans="1:28" ht="13.5" customHeight="1">
      <c r="A28" s="47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135"/>
      <c r="M28" s="135"/>
      <c r="N28" s="135"/>
      <c r="O28" s="135"/>
      <c r="P28" s="135"/>
      <c r="Q28" s="135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7"/>
    </row>
    <row r="29" spans="1:28" ht="27" customHeight="1">
      <c r="A29" s="1"/>
      <c r="B29" s="257"/>
      <c r="C29" s="258"/>
      <c r="D29" s="430" t="s">
        <v>157</v>
      </c>
      <c r="E29" s="259"/>
      <c r="F29" s="260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0"/>
      <c r="S29" s="260"/>
      <c r="T29" s="260"/>
      <c r="U29" s="258"/>
      <c r="V29" s="260"/>
      <c r="W29" s="260"/>
      <c r="X29" s="260"/>
      <c r="Y29" s="260"/>
      <c r="Z29" s="260"/>
      <c r="AA29" s="262"/>
      <c r="AB29" s="47"/>
    </row>
    <row r="30" spans="1:28" ht="13.5" customHeight="1">
      <c r="A30" s="1"/>
      <c r="B30" s="263"/>
      <c r="C30" s="2"/>
      <c r="D30" s="2"/>
      <c r="E30" s="2"/>
      <c r="F30" s="2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2"/>
      <c r="S30" s="2"/>
      <c r="T30" s="2"/>
      <c r="U30" s="2"/>
      <c r="V30" s="2"/>
      <c r="W30" s="2"/>
      <c r="X30" s="2"/>
      <c r="Y30" s="2"/>
      <c r="Z30" s="2"/>
      <c r="AA30" s="263"/>
      <c r="AB30" s="47"/>
    </row>
    <row r="31" spans="1:28" ht="13.5" customHeight="1">
      <c r="A31" s="1"/>
      <c r="B31" s="270"/>
      <c r="C31" s="3"/>
      <c r="D31" s="3" t="s">
        <v>0</v>
      </c>
      <c r="E31" s="26"/>
      <c r="F31" s="26"/>
      <c r="G31" s="138"/>
      <c r="H31" s="138"/>
      <c r="I31" s="138"/>
      <c r="J31" s="138"/>
      <c r="K31" s="138"/>
      <c r="L31" s="138"/>
      <c r="M31" s="139"/>
      <c r="N31" s="138"/>
      <c r="O31" s="138"/>
      <c r="P31" s="138"/>
      <c r="Q31" s="138"/>
      <c r="R31" s="26"/>
      <c r="S31" s="3"/>
      <c r="T31" s="26"/>
      <c r="U31" s="3"/>
      <c r="V31" s="26"/>
      <c r="W31" s="3"/>
      <c r="X31" s="3"/>
      <c r="Y31" s="3"/>
      <c r="Z31" s="3"/>
      <c r="AA31" s="263"/>
      <c r="AB31" s="47"/>
    </row>
    <row r="32" spans="1:28" ht="13.5" customHeight="1">
      <c r="A32" s="1"/>
      <c r="B32" s="270"/>
      <c r="C32" s="4" t="str">
        <f aca="true" t="shared" si="1" ref="C32:C41">"SUBTOTAL – Income statement – "&amp;D32</f>
        <v>SUBTOTAL – Income statement – Net interest income</v>
      </c>
      <c r="D32" s="218" t="s">
        <v>194</v>
      </c>
      <c r="E32" s="290"/>
      <c r="F32" s="33"/>
      <c r="G32" s="170">
        <f>IF(ISERROR(G56+G90),"–",G56+G90)</f>
        <v>726</v>
      </c>
      <c r="H32" s="170">
        <f>IF(ISERROR(H56+H90),"–",H56+H90)</f>
        <v>717</v>
      </c>
      <c r="I32" s="170">
        <f>IF(ISERROR(I56+I90),"–",I56+I90)</f>
        <v>724</v>
      </c>
      <c r="J32" s="170">
        <f>IF(ISERROR(J56+J90),"–",J56+J90)</f>
        <v>729</v>
      </c>
      <c r="K32" s="170">
        <f>IF(ISERROR(K56+K90),"–",K56+K90)</f>
        <v>731</v>
      </c>
      <c r="L32" s="170" t="str">
        <f aca="true" t="shared" si="2" ref="L32:L41">IF(ISERROR(L56+L90),"–",L56+L90)</f>
        <v>–</v>
      </c>
      <c r="M32" s="142"/>
      <c r="N32" s="170">
        <f aca="true" t="shared" si="3" ref="N32:O41">IF(ISERROR(N56+N90),"–",N56+N90)</f>
        <v>2896</v>
      </c>
      <c r="O32" s="145" t="str">
        <f t="shared" si="3"/>
        <v>–</v>
      </c>
      <c r="P32" s="145" t="str">
        <f aca="true" t="shared" si="4" ref="P32:Q41">IF(ISERROR(P56+P90),"–",P56+P90)</f>
        <v>–</v>
      </c>
      <c r="Q32" s="145" t="str">
        <f t="shared" si="4"/>
        <v>–</v>
      </c>
      <c r="R32" s="33"/>
      <c r="S32" s="45"/>
      <c r="T32" s="33"/>
      <c r="U32" s="38" t="s">
        <v>26</v>
      </c>
      <c r="V32" s="33"/>
      <c r="W32" s="37">
        <f aca="true" t="shared" si="5" ref="W32:W40">IF(L32="–",0,IF($U32="Positive Number",IF(OR(L32&lt;0,ISTEXT(L32),ISERROR(L32)),1,0),IF(OR(ISTEXT(L32),ISERROR(L32)),1,0)))</f>
        <v>0</v>
      </c>
      <c r="X32" s="57">
        <f aca="true" t="shared" si="6" ref="X32:Z35">IF(O32="–",0,IF($U32="Positive Number",IF(OR(O32&lt;0,ISTEXT(O32),ISERROR(O32)),1,0),IF(OR(ISTEXT(O32),ISERROR(O32)),1,0)))</f>
        <v>0</v>
      </c>
      <c r="Y32" s="57">
        <f t="shared" si="6"/>
        <v>0</v>
      </c>
      <c r="Z32" s="57">
        <f t="shared" si="6"/>
        <v>0</v>
      </c>
      <c r="AA32" s="264"/>
      <c r="AB32" s="47"/>
    </row>
    <row r="33" spans="1:28" ht="13.5" customHeight="1">
      <c r="A33" s="1"/>
      <c r="B33" s="270"/>
      <c r="C33" s="4" t="str">
        <f t="shared" si="1"/>
        <v>SUBTOTAL – Income statement – Recurring commissions and fees</v>
      </c>
      <c r="D33" s="218" t="s">
        <v>140</v>
      </c>
      <c r="E33" s="290"/>
      <c r="F33" s="33"/>
      <c r="G33" s="170">
        <f aca="true" t="shared" si="7" ref="G33:H41">IF(ISERROR(G57+G91),"–",G57+G91)</f>
        <v>362</v>
      </c>
      <c r="H33" s="170">
        <f t="shared" si="7"/>
        <v>363</v>
      </c>
      <c r="I33" s="170">
        <f aca="true" t="shared" si="8" ref="I33:J41">IF(ISERROR(I57+I91),"–",I57+I91)</f>
        <v>354</v>
      </c>
      <c r="J33" s="170">
        <f t="shared" si="8"/>
        <v>367</v>
      </c>
      <c r="K33" s="170">
        <f>IF(ISERROR(K57+K91),"–",K57+K91)</f>
        <v>380</v>
      </c>
      <c r="L33" s="170" t="str">
        <f t="shared" si="2"/>
        <v>–</v>
      </c>
      <c r="M33" s="142"/>
      <c r="N33" s="170">
        <f t="shared" si="3"/>
        <v>1446</v>
      </c>
      <c r="O33" s="145" t="str">
        <f t="shared" si="3"/>
        <v>–</v>
      </c>
      <c r="P33" s="145" t="str">
        <f t="shared" si="4"/>
        <v>–</v>
      </c>
      <c r="Q33" s="145" t="str">
        <f t="shared" si="4"/>
        <v>–</v>
      </c>
      <c r="R33" s="33"/>
      <c r="S33" s="45"/>
      <c r="T33" s="33"/>
      <c r="U33" s="38" t="s">
        <v>26</v>
      </c>
      <c r="V33" s="33"/>
      <c r="W33" s="37">
        <f t="shared" si="5"/>
        <v>0</v>
      </c>
      <c r="X33" s="57">
        <f t="shared" si="6"/>
        <v>0</v>
      </c>
      <c r="Y33" s="57">
        <f t="shared" si="6"/>
        <v>0</v>
      </c>
      <c r="Z33" s="57">
        <f t="shared" si="6"/>
        <v>0</v>
      </c>
      <c r="AA33" s="264"/>
      <c r="AB33" s="47"/>
    </row>
    <row r="34" spans="1:28" ht="13.5" customHeight="1">
      <c r="A34" s="1"/>
      <c r="B34" s="270"/>
      <c r="C34" s="4" t="str">
        <f t="shared" si="1"/>
        <v>SUBTOTAL – Income statement – Transaction and performance-based revenues</v>
      </c>
      <c r="D34" s="218" t="s">
        <v>141</v>
      </c>
      <c r="E34" s="290"/>
      <c r="F34" s="33"/>
      <c r="G34" s="170">
        <f t="shared" si="7"/>
        <v>280</v>
      </c>
      <c r="H34" s="170">
        <f t="shared" si="7"/>
        <v>330</v>
      </c>
      <c r="I34" s="170">
        <f t="shared" si="8"/>
        <v>262</v>
      </c>
      <c r="J34" s="170">
        <f t="shared" si="8"/>
        <v>235</v>
      </c>
      <c r="K34" s="170">
        <f>IF(ISERROR(K58+K92),"–",K58+K92)</f>
        <v>299</v>
      </c>
      <c r="L34" s="170" t="str">
        <f t="shared" si="2"/>
        <v>–</v>
      </c>
      <c r="M34" s="142"/>
      <c r="N34" s="170">
        <f t="shared" si="3"/>
        <v>1107</v>
      </c>
      <c r="O34" s="145" t="str">
        <f t="shared" si="3"/>
        <v>–</v>
      </c>
      <c r="P34" s="145" t="str">
        <f t="shared" si="4"/>
        <v>–</v>
      </c>
      <c r="Q34" s="145" t="str">
        <f t="shared" si="4"/>
        <v>–</v>
      </c>
      <c r="R34" s="33"/>
      <c r="S34" s="45"/>
      <c r="T34" s="33"/>
      <c r="U34" s="38" t="s">
        <v>26</v>
      </c>
      <c r="V34" s="33"/>
      <c r="W34" s="37">
        <f t="shared" si="5"/>
        <v>0</v>
      </c>
      <c r="X34" s="57">
        <f t="shared" si="6"/>
        <v>0</v>
      </c>
      <c r="Y34" s="57">
        <f t="shared" si="6"/>
        <v>0</v>
      </c>
      <c r="Z34" s="57">
        <f t="shared" si="6"/>
        <v>0</v>
      </c>
      <c r="AA34" s="264"/>
      <c r="AB34" s="47"/>
    </row>
    <row r="35" spans="1:28" s="207" customFormat="1" ht="13.5" customHeight="1">
      <c r="A35" s="1"/>
      <c r="B35" s="270"/>
      <c r="C35" s="4" t="str">
        <f t="shared" si="1"/>
        <v>SUBTOTAL – Income statement – Other revenues</v>
      </c>
      <c r="D35" s="218" t="s">
        <v>136</v>
      </c>
      <c r="E35" s="290"/>
      <c r="F35" s="33"/>
      <c r="G35" s="170">
        <f t="shared" si="7"/>
        <v>-14</v>
      </c>
      <c r="H35" s="170">
        <f t="shared" si="7"/>
        <v>-5</v>
      </c>
      <c r="I35" s="170">
        <f t="shared" si="8"/>
        <v>-21</v>
      </c>
      <c r="J35" s="170">
        <f t="shared" si="8"/>
        <v>-13</v>
      </c>
      <c r="K35" s="170">
        <f>IF(ISERROR(K59+K93),"–",K59+K93)</f>
        <v>21</v>
      </c>
      <c r="L35" s="170" t="str">
        <f t="shared" si="2"/>
        <v>–</v>
      </c>
      <c r="M35" s="142"/>
      <c r="N35" s="170">
        <f t="shared" si="3"/>
        <v>-53</v>
      </c>
      <c r="O35" s="145" t="str">
        <f t="shared" si="3"/>
        <v>–</v>
      </c>
      <c r="P35" s="145" t="str">
        <f t="shared" si="4"/>
        <v>–</v>
      </c>
      <c r="Q35" s="145" t="str">
        <f t="shared" si="4"/>
        <v>–</v>
      </c>
      <c r="R35" s="33"/>
      <c r="S35" s="45"/>
      <c r="T35" s="33"/>
      <c r="U35" s="237" t="s">
        <v>26</v>
      </c>
      <c r="V35" s="33"/>
      <c r="W35" s="238">
        <f t="shared" si="5"/>
        <v>0</v>
      </c>
      <c r="X35" s="239">
        <f t="shared" si="6"/>
        <v>0</v>
      </c>
      <c r="Y35" s="239">
        <f t="shared" si="6"/>
        <v>0</v>
      </c>
      <c r="Z35" s="239">
        <f t="shared" si="6"/>
        <v>0</v>
      </c>
      <c r="AA35" s="263"/>
      <c r="AB35" s="47"/>
    </row>
    <row r="36" spans="1:28" ht="13.5" customHeight="1">
      <c r="A36" s="1"/>
      <c r="B36" s="270"/>
      <c r="C36" s="4" t="str">
        <f t="shared" si="1"/>
        <v>SUBTOTAL – Income statement – Net revenues</v>
      </c>
      <c r="D36" s="288" t="s">
        <v>1</v>
      </c>
      <c r="E36" s="289"/>
      <c r="F36" s="27"/>
      <c r="G36" s="145">
        <f t="shared" si="7"/>
        <v>1354</v>
      </c>
      <c r="H36" s="145">
        <f t="shared" si="7"/>
        <v>1405</v>
      </c>
      <c r="I36" s="145">
        <f t="shared" si="8"/>
        <v>1319</v>
      </c>
      <c r="J36" s="145">
        <f t="shared" si="8"/>
        <v>1318</v>
      </c>
      <c r="K36" s="145">
        <f>IF(ISERROR(K60+K94),"–",K60+K94)</f>
        <v>1431</v>
      </c>
      <c r="L36" s="145" t="str">
        <f t="shared" si="2"/>
        <v>–</v>
      </c>
      <c r="M36" s="153"/>
      <c r="N36" s="145">
        <f t="shared" si="3"/>
        <v>5396</v>
      </c>
      <c r="O36" s="145" t="str">
        <f t="shared" si="3"/>
        <v>–</v>
      </c>
      <c r="P36" s="145" t="str">
        <f t="shared" si="4"/>
        <v>–</v>
      </c>
      <c r="Q36" s="145" t="str">
        <f t="shared" si="4"/>
        <v>–</v>
      </c>
      <c r="R36" s="27"/>
      <c r="S36" s="45"/>
      <c r="T36" s="27"/>
      <c r="U36" s="38" t="s">
        <v>25</v>
      </c>
      <c r="V36" s="27"/>
      <c r="W36" s="37">
        <f t="shared" si="5"/>
        <v>0</v>
      </c>
      <c r="X36" s="57">
        <f aca="true" t="shared" si="9" ref="X36:Z39">IF(O36="–",0,IF($U36="Positive Number",IF(OR(O36&lt;0,ISTEXT(O36),ISERROR(O36)),1,0),IF(OR(ISTEXT(O36),ISERROR(O36)),1,0)))</f>
        <v>0</v>
      </c>
      <c r="Y36" s="57">
        <f t="shared" si="9"/>
        <v>0</v>
      </c>
      <c r="Z36" s="57">
        <f t="shared" si="9"/>
        <v>0</v>
      </c>
      <c r="AA36" s="263"/>
      <c r="AB36" s="47"/>
    </row>
    <row r="37" spans="1:28" ht="13.5" customHeight="1">
      <c r="A37" s="10"/>
      <c r="B37" s="271"/>
      <c r="C37" s="4" t="str">
        <f t="shared" si="1"/>
        <v>SUBTOTAL – Income statement – Provision for credit losses</v>
      </c>
      <c r="D37" s="288" t="s">
        <v>5</v>
      </c>
      <c r="E37" s="289"/>
      <c r="F37" s="27"/>
      <c r="G37" s="145">
        <f t="shared" si="7"/>
        <v>10</v>
      </c>
      <c r="H37" s="145">
        <f t="shared" si="7"/>
        <v>36</v>
      </c>
      <c r="I37" s="145">
        <f t="shared" si="8"/>
        <v>14</v>
      </c>
      <c r="J37" s="145">
        <f t="shared" si="8"/>
        <v>15</v>
      </c>
      <c r="K37" s="145">
        <f>IF(ISERROR(K61+K95),"–",K61+K95)</f>
        <v>34</v>
      </c>
      <c r="L37" s="145" t="str">
        <f t="shared" si="2"/>
        <v>–</v>
      </c>
      <c r="M37" s="153"/>
      <c r="N37" s="145">
        <f t="shared" si="3"/>
        <v>75</v>
      </c>
      <c r="O37" s="145" t="str">
        <f t="shared" si="3"/>
        <v>–</v>
      </c>
      <c r="P37" s="145" t="str">
        <f t="shared" si="4"/>
        <v>–</v>
      </c>
      <c r="Q37" s="145" t="str">
        <f t="shared" si="4"/>
        <v>–</v>
      </c>
      <c r="R37" s="27"/>
      <c r="S37" s="45"/>
      <c r="T37" s="27"/>
      <c r="U37" s="38" t="s">
        <v>26</v>
      </c>
      <c r="V37" s="27"/>
      <c r="W37" s="37">
        <f t="shared" si="5"/>
        <v>0</v>
      </c>
      <c r="X37" s="57">
        <f t="shared" si="9"/>
        <v>0</v>
      </c>
      <c r="Y37" s="57">
        <f t="shared" si="9"/>
        <v>0</v>
      </c>
      <c r="Z37" s="57">
        <f t="shared" si="9"/>
        <v>0</v>
      </c>
      <c r="AA37" s="263"/>
      <c r="AB37" s="64"/>
    </row>
    <row r="38" spans="1:28" s="207" customFormat="1" ht="13.5" customHeight="1">
      <c r="A38" s="1"/>
      <c r="B38" s="271"/>
      <c r="C38" s="4" t="str">
        <f t="shared" si="1"/>
        <v>SUBTOTAL – Income statement – Compensation and benefits</v>
      </c>
      <c r="D38" s="76" t="s">
        <v>6</v>
      </c>
      <c r="E38" s="84"/>
      <c r="F38" s="33"/>
      <c r="G38" s="170">
        <f t="shared" si="7"/>
        <v>483</v>
      </c>
      <c r="H38" s="170">
        <f t="shared" si="7"/>
        <v>497</v>
      </c>
      <c r="I38" s="170">
        <f t="shared" si="8"/>
        <v>493</v>
      </c>
      <c r="J38" s="170">
        <f t="shared" si="8"/>
        <v>484</v>
      </c>
      <c r="K38" s="170">
        <f>IF(ISERROR(K62+K96),"–",K62+K96)</f>
        <v>487</v>
      </c>
      <c r="L38" s="170" t="str">
        <f t="shared" si="2"/>
        <v>–</v>
      </c>
      <c r="M38" s="142"/>
      <c r="N38" s="170">
        <f t="shared" si="3"/>
        <v>1833</v>
      </c>
      <c r="O38" s="170" t="str">
        <f t="shared" si="3"/>
        <v>–</v>
      </c>
      <c r="P38" s="170" t="str">
        <f t="shared" si="4"/>
        <v>–</v>
      </c>
      <c r="Q38" s="170" t="str">
        <f t="shared" si="4"/>
        <v>–</v>
      </c>
      <c r="R38" s="33"/>
      <c r="S38" s="45"/>
      <c r="T38" s="33"/>
      <c r="U38" s="237" t="s">
        <v>25</v>
      </c>
      <c r="V38" s="33"/>
      <c r="W38" s="238">
        <f t="shared" si="5"/>
        <v>0</v>
      </c>
      <c r="X38" s="239">
        <f t="shared" si="9"/>
        <v>0</v>
      </c>
      <c r="Y38" s="239">
        <f t="shared" si="9"/>
        <v>0</v>
      </c>
      <c r="Z38" s="239">
        <f t="shared" si="9"/>
        <v>0</v>
      </c>
      <c r="AA38" s="263"/>
      <c r="AB38" s="47"/>
    </row>
    <row r="39" spans="1:28" s="207" customFormat="1" ht="13.5" customHeight="1">
      <c r="A39" s="1"/>
      <c r="B39" s="271"/>
      <c r="C39" s="4" t="str">
        <f t="shared" si="1"/>
        <v>SUBTOTAL – Income statement – Total other operating expenses</v>
      </c>
      <c r="D39" s="76" t="s">
        <v>137</v>
      </c>
      <c r="E39" s="84"/>
      <c r="F39" s="33"/>
      <c r="G39" s="170">
        <f t="shared" si="7"/>
        <v>457</v>
      </c>
      <c r="H39" s="170">
        <f t="shared" si="7"/>
        <v>370</v>
      </c>
      <c r="I39" s="170">
        <f t="shared" si="8"/>
        <v>386</v>
      </c>
      <c r="J39" s="170">
        <f t="shared" si="8"/>
        <v>386</v>
      </c>
      <c r="K39" s="170">
        <f>IF(ISERROR(K63+K97),"–",K63+K97)</f>
        <v>347</v>
      </c>
      <c r="L39" s="170" t="str">
        <f t="shared" si="2"/>
        <v>–</v>
      </c>
      <c r="M39" s="142"/>
      <c r="N39" s="170">
        <f t="shared" si="3"/>
        <v>1723</v>
      </c>
      <c r="O39" s="170" t="str">
        <f t="shared" si="3"/>
        <v>–</v>
      </c>
      <c r="P39" s="170" t="str">
        <f t="shared" si="4"/>
        <v>–</v>
      </c>
      <c r="Q39" s="170" t="str">
        <f t="shared" si="4"/>
        <v>–</v>
      </c>
      <c r="R39" s="33"/>
      <c r="S39" s="45"/>
      <c r="T39" s="33"/>
      <c r="U39" s="237" t="s">
        <v>25</v>
      </c>
      <c r="V39" s="33"/>
      <c r="W39" s="238">
        <f t="shared" si="5"/>
        <v>0</v>
      </c>
      <c r="X39" s="239">
        <f t="shared" si="9"/>
        <v>0</v>
      </c>
      <c r="Y39" s="239">
        <f t="shared" si="9"/>
        <v>0</v>
      </c>
      <c r="Z39" s="239">
        <f t="shared" si="9"/>
        <v>0</v>
      </c>
      <c r="AA39" s="263"/>
      <c r="AB39" s="47"/>
    </row>
    <row r="40" spans="1:28" ht="13.5" customHeight="1">
      <c r="A40" s="1"/>
      <c r="B40" s="271"/>
      <c r="C40" s="4" t="str">
        <f t="shared" si="1"/>
        <v>SUBTOTAL – Income statement – Total operating expenses</v>
      </c>
      <c r="D40" s="288" t="s">
        <v>7</v>
      </c>
      <c r="E40" s="289"/>
      <c r="F40" s="29"/>
      <c r="G40" s="145">
        <f t="shared" si="7"/>
        <v>940</v>
      </c>
      <c r="H40" s="145">
        <f t="shared" si="7"/>
        <v>867</v>
      </c>
      <c r="I40" s="145">
        <f t="shared" si="8"/>
        <v>879</v>
      </c>
      <c r="J40" s="145">
        <f t="shared" si="8"/>
        <v>870</v>
      </c>
      <c r="K40" s="145">
        <f>IF(ISERROR(K64+K98),"–",K64+K98)</f>
        <v>834</v>
      </c>
      <c r="L40" s="145" t="str">
        <f t="shared" si="2"/>
        <v>–</v>
      </c>
      <c r="M40" s="154"/>
      <c r="N40" s="145">
        <f t="shared" si="3"/>
        <v>3556</v>
      </c>
      <c r="O40" s="145" t="str">
        <f t="shared" si="3"/>
        <v>–</v>
      </c>
      <c r="P40" s="145" t="str">
        <f t="shared" si="4"/>
        <v>–</v>
      </c>
      <c r="Q40" s="145" t="str">
        <f t="shared" si="4"/>
        <v>–</v>
      </c>
      <c r="R40" s="29"/>
      <c r="S40" s="45"/>
      <c r="T40" s="29"/>
      <c r="U40" s="38" t="s">
        <v>26</v>
      </c>
      <c r="V40" s="27"/>
      <c r="W40" s="37">
        <f t="shared" si="5"/>
        <v>0</v>
      </c>
      <c r="X40" s="57">
        <f>IF(O40="–",0,IF($U40="Positive Number",IF(OR(O40&lt;0,ISTEXT(O40),ISERROR(O40)),1,0),IF(OR(ISTEXT(O40),ISERROR(O40)),1,0)))</f>
        <v>0</v>
      </c>
      <c r="Y40" s="57">
        <f>IF(P40="–",0,IF($U40="Positive Number",IF(OR(P40&lt;0,ISTEXT(P40),ISERROR(P40)),1,0),IF(OR(ISTEXT(P40),ISERROR(P40)),1,0)))</f>
        <v>0</v>
      </c>
      <c r="Z40" s="57">
        <f>IF(Q40="–",0,IF($U40="Positive Number",IF(OR(Q40&lt;0,ISTEXT(Q40),ISERROR(Q40)),1,0),IF(OR(ISTEXT(Q40),ISERROR(Q40)),1,0)))</f>
        <v>0</v>
      </c>
      <c r="AA40" s="263"/>
      <c r="AB40" s="47"/>
    </row>
    <row r="41" spans="1:28" ht="13.5" customHeight="1">
      <c r="A41" s="1"/>
      <c r="B41" s="271"/>
      <c r="C41" s="4" t="str">
        <f t="shared" si="1"/>
        <v>SUBTOTAL – Income statement – Income from continuing operations before taxes</v>
      </c>
      <c r="D41" s="75" t="s">
        <v>8</v>
      </c>
      <c r="E41" s="83"/>
      <c r="F41" s="29"/>
      <c r="G41" s="145">
        <f t="shared" si="7"/>
        <v>404</v>
      </c>
      <c r="H41" s="145">
        <f t="shared" si="7"/>
        <v>502</v>
      </c>
      <c r="I41" s="145">
        <f t="shared" si="8"/>
        <v>426</v>
      </c>
      <c r="J41" s="145">
        <f t="shared" si="8"/>
        <v>433</v>
      </c>
      <c r="K41" s="145">
        <f>IF(ISERROR(K65+K99),"–",K65+K99)</f>
        <v>563</v>
      </c>
      <c r="L41" s="145" t="str">
        <f t="shared" si="2"/>
        <v>–</v>
      </c>
      <c r="M41" s="154"/>
      <c r="N41" s="145">
        <f t="shared" si="3"/>
        <v>1765</v>
      </c>
      <c r="O41" s="145" t="str">
        <f t="shared" si="3"/>
        <v>–</v>
      </c>
      <c r="P41" s="145" t="str">
        <f t="shared" si="4"/>
        <v>–</v>
      </c>
      <c r="Q41" s="145" t="str">
        <f t="shared" si="4"/>
        <v>–</v>
      </c>
      <c r="R41" s="29"/>
      <c r="S41" s="45"/>
      <c r="T41" s="29"/>
      <c r="U41" s="36"/>
      <c r="V41" s="29"/>
      <c r="W41" s="5"/>
      <c r="X41" s="54"/>
      <c r="Y41" s="54"/>
      <c r="Z41" s="54"/>
      <c r="AA41" s="263"/>
      <c r="AB41" s="47"/>
    </row>
    <row r="42" spans="1:28" ht="13.5" customHeight="1">
      <c r="A42" s="1"/>
      <c r="B42" s="270"/>
      <c r="C42" s="6"/>
      <c r="D42" s="7"/>
      <c r="E42" s="35"/>
      <c r="F42" s="29"/>
      <c r="G42" s="8"/>
      <c r="H42" s="8"/>
      <c r="I42" s="8"/>
      <c r="J42" s="8"/>
      <c r="K42" s="8"/>
      <c r="L42" s="8"/>
      <c r="M42" s="154"/>
      <c r="N42" s="8"/>
      <c r="O42" s="8"/>
      <c r="P42" s="8"/>
      <c r="Q42" s="8"/>
      <c r="R42" s="29"/>
      <c r="S42" s="8"/>
      <c r="T42" s="29"/>
      <c r="U42" s="6"/>
      <c r="V42" s="29"/>
      <c r="W42" s="34"/>
      <c r="X42" s="8"/>
      <c r="Y42" s="8"/>
      <c r="Z42" s="8"/>
      <c r="AA42" s="263"/>
      <c r="AB42" s="47"/>
    </row>
    <row r="43" spans="1:28" ht="13.5" customHeight="1" hidden="1">
      <c r="A43" s="1"/>
      <c r="B43" s="270"/>
      <c r="C43" s="4" t="str">
        <f>"SUBTOTAL – Income statement – "&amp;D43</f>
        <v>SUBTOTAL – Income statement – Compensation ratio (%)</v>
      </c>
      <c r="D43" s="82" t="s">
        <v>9</v>
      </c>
      <c r="E43" s="91"/>
      <c r="F43" s="33"/>
      <c r="G43" s="151">
        <f>IF(ISERROR(G38/G36),"–",IF(ABS(G38/G36*100)&gt;NM,"–",G38/G36*100))</f>
        <v>35.672082717872975</v>
      </c>
      <c r="H43" s="151">
        <f>IF(ISERROR(H38/H36),"–",IF(ABS(H38/H36*100)&gt;NM,"–",H38/H36*100))</f>
        <v>35.37366548042705</v>
      </c>
      <c r="I43" s="151">
        <f>IF(ISERROR(I38/I36),"–",IF(ABS(I38/I36*100)&gt;NM,"–",I38/I36*100))</f>
        <v>37.37680060652009</v>
      </c>
      <c r="J43" s="151">
        <f>IF(ISERROR(J38/J36),"–",IF(ABS(J38/J36*100)&gt;NM,"–",J38/J36*100))</f>
        <v>36.722306525037936</v>
      </c>
      <c r="K43" s="151">
        <f>IF(ISERROR(K38/K36),"–",IF(ABS(K38/K36*100)&gt;NM,"–",K38/K36*100))</f>
        <v>34.032145352900066</v>
      </c>
      <c r="L43" s="151" t="str">
        <f>IF(ISERROR(L38/L36),"–",IF(ABS(L38/L36*100)&gt;NM,"–",L38/L36*100))</f>
        <v>–</v>
      </c>
      <c r="M43" s="142"/>
      <c r="N43" s="151">
        <f>IF(ISERROR(N38/N36),"–",IF(ABS(N38/N36*100)&gt;NM,"–",N38/N36*100))</f>
        <v>33.969607116382505</v>
      </c>
      <c r="O43" s="151" t="str">
        <f>IF(ISERROR(O38/O36),"–",IF(ABS(O38/O36*100)&gt;NM,"–",O38/O36*100))</f>
        <v>–</v>
      </c>
      <c r="P43" s="151" t="str">
        <f>IF(ISERROR(P38/P36),"–",IF(ABS(P38/P36*100)&gt;NM,"–",P38/P36*100))</f>
        <v>–</v>
      </c>
      <c r="Q43" s="151" t="str">
        <f>IF(ISERROR(Q38/Q36),"–",IF(ABS(Q38/Q36*100)&gt;NM,"–",Q38/Q36*100))</f>
        <v>–</v>
      </c>
      <c r="R43" s="33"/>
      <c r="S43" s="45"/>
      <c r="T43" s="33"/>
      <c r="U43" s="4"/>
      <c r="V43" s="33"/>
      <c r="W43" s="12"/>
      <c r="X43" s="58"/>
      <c r="Y43" s="58"/>
      <c r="Z43" s="58"/>
      <c r="AA43" s="263"/>
      <c r="AB43" s="47"/>
    </row>
    <row r="44" spans="1:28" ht="13.5" customHeight="1" hidden="1">
      <c r="A44" s="1"/>
      <c r="B44" s="270"/>
      <c r="C44" s="4" t="str">
        <f>"SUBTOTAL – Income statement – "&amp;D44</f>
        <v>SUBTOTAL – Income statement – Non-compensation ratio (%)</v>
      </c>
      <c r="D44" s="82" t="s">
        <v>10</v>
      </c>
      <c r="E44" s="91"/>
      <c r="F44" s="33"/>
      <c r="G44" s="151">
        <f>IF(ISERROR(G39/G36),"–",IF(ABS(G39/G36*100)&gt;NM,"–",G39/G36*100))</f>
        <v>33.75184638109306</v>
      </c>
      <c r="H44" s="151">
        <f>IF(ISERROR(H39/H36),"–",IF(ABS(H39/H36*100)&gt;NM,"–",H39/H36*100))</f>
        <v>26.334519572953734</v>
      </c>
      <c r="I44" s="151">
        <f>IF(ISERROR(I39/I36),"–",IF(ABS(I39/I36*100)&gt;NM,"–",I39/I36*100))</f>
        <v>29.264594389689158</v>
      </c>
      <c r="J44" s="151">
        <f>IF(ISERROR(J39/J36),"–",IF(ABS(J39/J36*100)&gt;NM,"–",J39/J36*100))</f>
        <v>29.286798179059183</v>
      </c>
      <c r="K44" s="151">
        <f>IF(ISERROR(K39/K36),"–",IF(ABS(K39/K36*100)&gt;NM,"–",K39/K36*100))</f>
        <v>24.24877707896576</v>
      </c>
      <c r="L44" s="151" t="str">
        <f>IF(ISERROR(L39/L36),"–",IF(ABS(L39/L36*100)&gt;NM,"–",L39/L36*100))</f>
        <v>–</v>
      </c>
      <c r="M44" s="142"/>
      <c r="N44" s="151">
        <f>IF(ISERROR(N39/N36),"–",IF(ABS(N39/N36*100)&gt;NM,"–",N39/N36*100))</f>
        <v>31.931060044477388</v>
      </c>
      <c r="O44" s="151" t="str">
        <f>IF(ISERROR(O39/O36),"–",IF(ABS(O39/O36*100)&gt;NM,"–",O39/O36*100))</f>
        <v>–</v>
      </c>
      <c r="P44" s="151" t="str">
        <f>IF(ISERROR(P39/P36),"–",IF(ABS(P39/P36*100)&gt;NM,"–",P39/P36*100))</f>
        <v>–</v>
      </c>
      <c r="Q44" s="151" t="str">
        <f>IF(ISERROR(Q39/Q36),"–",IF(ABS(Q39/Q36*100)&gt;NM,"–",Q39/Q36*100))</f>
        <v>–</v>
      </c>
      <c r="R44" s="33"/>
      <c r="S44" s="45"/>
      <c r="T44" s="33"/>
      <c r="U44" s="4"/>
      <c r="V44" s="33"/>
      <c r="W44" s="12"/>
      <c r="X44" s="58"/>
      <c r="Y44" s="58"/>
      <c r="Z44" s="58"/>
      <c r="AA44" s="263"/>
      <c r="AB44" s="47"/>
    </row>
    <row r="45" spans="1:28" ht="13.5" customHeight="1">
      <c r="A45" s="1"/>
      <c r="B45" s="270"/>
      <c r="C45" s="4" t="str">
        <f>"SUBTOTAL – Income statement – "&amp;D45</f>
        <v>SUBTOTAL – Income statement – Cost / income ratio (%)</v>
      </c>
      <c r="D45" s="77" t="s">
        <v>11</v>
      </c>
      <c r="E45" s="85"/>
      <c r="F45" s="31"/>
      <c r="G45" s="151">
        <f>IF(ISERROR(G40/G36),"–",IF(ABS(G40/G36*100)&gt;NM,"–",G40/G36*100))</f>
        <v>69.42392909896603</v>
      </c>
      <c r="H45" s="151">
        <f>IF(ISERROR(H40/H36),"–",IF(ABS(H40/H36*100)&gt;NM,"–",H40/H36*100))</f>
        <v>61.70818505338078</v>
      </c>
      <c r="I45" s="151">
        <f>IF(ISERROR(I40/I36),"–",IF(ABS(I40/I36*100)&gt;NM,"–",I40/I36*100))</f>
        <v>66.64139499620924</v>
      </c>
      <c r="J45" s="151">
        <f>IF(ISERROR(J40/J36),"–",IF(ABS(J40/J36*100)&gt;NM,"–",J40/J36*100))</f>
        <v>66.00910470409713</v>
      </c>
      <c r="K45" s="151">
        <f>IF(ISERROR(K40/K36),"–",IF(ABS(K40/K36*100)&gt;NM,"–",K40/K36*100))</f>
        <v>58.280922431865825</v>
      </c>
      <c r="L45" s="151" t="str">
        <f>IF(ISERROR(L40/L36),"–",IF(ABS(L40/L36*100)&gt;NM,"–",L40/L36*100))</f>
        <v>–</v>
      </c>
      <c r="M45" s="157"/>
      <c r="N45" s="151">
        <f>IF(ISERROR(N40/N36),"–",IF(ABS(N40/N36*100)&gt;NM,"–",N40/N36*100))</f>
        <v>65.9006671608599</v>
      </c>
      <c r="O45" s="151" t="str">
        <f>IF(ISERROR(O40/O36),"–",IF(ABS(O40/O36*100)&gt;NM,"–",O40/O36*100))</f>
        <v>–</v>
      </c>
      <c r="P45" s="151" t="str">
        <f>IF(ISERROR(P40/P36),"–",IF(ABS(P40/P36*100)&gt;NM,"–",P40/P36*100))</f>
        <v>–</v>
      </c>
      <c r="Q45" s="151" t="str">
        <f>IF(ISERROR(Q40/Q36),"–",IF(ABS(Q40/Q36*100)&gt;NM,"–",Q40/Q36*100))</f>
        <v>–</v>
      </c>
      <c r="R45" s="31"/>
      <c r="S45" s="45"/>
      <c r="T45" s="31"/>
      <c r="U45" s="4"/>
      <c r="V45" s="31"/>
      <c r="W45" s="13"/>
      <c r="X45" s="59"/>
      <c r="Y45" s="59"/>
      <c r="Z45" s="59"/>
      <c r="AA45" s="263"/>
      <c r="AB45" s="47"/>
    </row>
    <row r="46" spans="1:28" ht="13.5" customHeight="1">
      <c r="A46" s="1"/>
      <c r="B46" s="271"/>
      <c r="C46" s="4" t="str">
        <f>"SUBTOTAL – Income statement – "&amp;D46</f>
        <v>SUBTOTAL – Income statement – Pre-tax income margin (%)</v>
      </c>
      <c r="D46" s="77" t="s">
        <v>12</v>
      </c>
      <c r="E46" s="85"/>
      <c r="F46" s="31"/>
      <c r="G46" s="151">
        <f>IF(ISERROR(G41/G36),"–",IF(ABS(G41/G36*100)&gt;NM,"–",G41/G36*100))</f>
        <v>29.83751846381093</v>
      </c>
      <c r="H46" s="151">
        <f>IF(ISERROR(H41/H36),"–",IF(ABS(H41/H36*100)&gt;NM,"–",H41/H36*100))</f>
        <v>35.729537366548044</v>
      </c>
      <c r="I46" s="151">
        <f>IF(ISERROR(I41/I36),"–",IF(ABS(I41/I36*100)&gt;NM,"–",I41/I36*100))</f>
        <v>32.297194844579224</v>
      </c>
      <c r="J46" s="151">
        <f>IF(ISERROR(J41/J36),"–",IF(ABS(J41/J36*100)&gt;NM,"–",J41/J36*100))</f>
        <v>32.85280728376328</v>
      </c>
      <c r="K46" s="151">
        <f>IF(ISERROR(K41/K36),"–",IF(ABS(K41/K36*100)&gt;NM,"–",K41/K36*100))</f>
        <v>39.343116701607265</v>
      </c>
      <c r="L46" s="151" t="str">
        <f>IF(ISERROR(L41/L36),"–",IF(ABS(L41/L36*100)&gt;NM,"–",L41/L36*100))</f>
        <v>–</v>
      </c>
      <c r="M46" s="157"/>
      <c r="N46" s="151">
        <f>IF(ISERROR(N41/N36),"–",IF(ABS(N41/N36*100)&gt;NM,"–",N41/N36*100))</f>
        <v>32.70941438102298</v>
      </c>
      <c r="O46" s="151" t="str">
        <f>IF(ISERROR(O41/O36),"–",IF(ABS(O41/O36*100)&gt;NM,"–",O41/O36*100))</f>
        <v>–</v>
      </c>
      <c r="P46" s="151" t="str">
        <f>IF(ISERROR(P41/P36),"–",IF(ABS(P41/P36*100)&gt;NM,"–",P41/P36*100))</f>
        <v>–</v>
      </c>
      <c r="Q46" s="151" t="str">
        <f>IF(ISERROR(Q41/Q36),"–",IF(ABS(Q41/Q36*100)&gt;NM,"–",Q41/Q36*100))</f>
        <v>–</v>
      </c>
      <c r="R46" s="31"/>
      <c r="S46" s="45"/>
      <c r="T46" s="31"/>
      <c r="U46" s="4"/>
      <c r="V46" s="31"/>
      <c r="W46" s="13"/>
      <c r="X46" s="59"/>
      <c r="Y46" s="59"/>
      <c r="Z46" s="59"/>
      <c r="AA46" s="263"/>
      <c r="AB46" s="47"/>
    </row>
    <row r="47" spans="1:28" ht="13.5" customHeight="1">
      <c r="A47" s="1"/>
      <c r="B47" s="271"/>
      <c r="C47" s="6"/>
      <c r="D47" s="7"/>
      <c r="E47" s="7"/>
      <c r="F47" s="33"/>
      <c r="G47" s="8"/>
      <c r="H47" s="8"/>
      <c r="I47" s="8"/>
      <c r="J47" s="8"/>
      <c r="K47" s="8"/>
      <c r="L47" s="8"/>
      <c r="M47" s="142"/>
      <c r="N47" s="8"/>
      <c r="O47" s="8"/>
      <c r="P47" s="8"/>
      <c r="Q47" s="8"/>
      <c r="R47" s="33"/>
      <c r="S47" s="8"/>
      <c r="T47" s="29"/>
      <c r="U47" s="2"/>
      <c r="V47" s="25"/>
      <c r="W47" s="2"/>
      <c r="X47" s="2"/>
      <c r="Y47" s="2"/>
      <c r="Z47" s="2"/>
      <c r="AA47" s="263"/>
      <c r="AB47" s="47"/>
    </row>
    <row r="48" spans="1:28" ht="13.5" customHeight="1">
      <c r="A48" s="1"/>
      <c r="B48" s="271"/>
      <c r="C48" s="2"/>
      <c r="D48" s="2"/>
      <c r="E48" s="2"/>
      <c r="F48" s="25"/>
      <c r="G48" s="137"/>
      <c r="H48" s="137"/>
      <c r="I48" s="137"/>
      <c r="J48" s="137"/>
      <c r="K48" s="137"/>
      <c r="L48" s="136"/>
      <c r="M48" s="159"/>
      <c r="N48" s="137"/>
      <c r="O48" s="136"/>
      <c r="P48" s="136"/>
      <c r="Q48" s="136"/>
      <c r="R48" s="25"/>
      <c r="S48" s="2"/>
      <c r="T48" s="25"/>
      <c r="U48" s="2"/>
      <c r="V48" s="25"/>
      <c r="W48" s="2"/>
      <c r="X48" s="2"/>
      <c r="Y48" s="2"/>
      <c r="Z48" s="2"/>
      <c r="AA48" s="263"/>
      <c r="AB48" s="47"/>
    </row>
    <row r="49" spans="1:28" ht="13.5" customHeight="1">
      <c r="A49" s="1"/>
      <c r="B49" s="270"/>
      <c r="C49" s="3"/>
      <c r="D49" s="3" t="s">
        <v>160</v>
      </c>
      <c r="E49" s="3"/>
      <c r="F49" s="26"/>
      <c r="G49" s="140"/>
      <c r="H49" s="140"/>
      <c r="I49" s="140"/>
      <c r="J49" s="140"/>
      <c r="K49" s="140"/>
      <c r="L49" s="138"/>
      <c r="M49" s="139"/>
      <c r="N49" s="140"/>
      <c r="O49" s="138"/>
      <c r="P49" s="138"/>
      <c r="Q49" s="138"/>
      <c r="R49" s="26"/>
      <c r="S49" s="3"/>
      <c r="T49" s="26"/>
      <c r="U49" s="3"/>
      <c r="V49" s="26"/>
      <c r="W49" s="3"/>
      <c r="X49" s="3"/>
      <c r="Y49" s="3"/>
      <c r="Z49" s="3"/>
      <c r="AA49" s="264"/>
      <c r="AB49" s="47"/>
    </row>
    <row r="50" spans="1:28" s="207" customFormat="1" ht="13.5" customHeight="1">
      <c r="A50" s="1"/>
      <c r="B50" s="270"/>
      <c r="C50" s="4" t="str">
        <f>"SUBTOTAL – Assets under management – "&amp;D50</f>
        <v>SUBTOTAL – Assets under management – Risk-weighted assets – look-through (CHF million)</v>
      </c>
      <c r="D50" s="292" t="s">
        <v>162</v>
      </c>
      <c r="E50" s="292"/>
      <c r="F50" s="30"/>
      <c r="G50" s="281">
        <v>65639</v>
      </c>
      <c r="H50" s="281">
        <v>64426</v>
      </c>
      <c r="I50" s="281">
        <v>64519</v>
      </c>
      <c r="J50" s="281">
        <v>65572</v>
      </c>
      <c r="K50" s="281">
        <v>70558</v>
      </c>
      <c r="L50" s="141">
        <f>IF(L$27="No","–",IF(INDEX(CS_CONS_LINK_ARRAY,MATCH($C50,CS_CONS_LINK_COLUMN,0),MATCH(L$1,CS_CONS_LINK_ROW,0))="","",INDEX(CS_CONS_LINK_ARRAY,MATCH($C50,CS_CONS_LINK_COLUMN,0),MATCH(L$1,CS_CONS_LINK_ROW,0))))</f>
      </c>
      <c r="M50" s="156"/>
      <c r="N50" s="281">
        <v>65572</v>
      </c>
      <c r="O50" s="141">
        <f aca="true" t="shared" si="10" ref="O50:Q51">IF(O$27="No","–",IF(INDEX(CS_CONS_LINK_ARRAY,MATCH($C50,CS_CONS_LINK_COLUMN,0),MATCH(O$1,CS_CONS_LINK_ROW,0))="","",INDEX(CS_CONS_LINK_ARRAY,MATCH($C50,CS_CONS_LINK_COLUMN,0),MATCH(O$1,CS_CONS_LINK_ROW,0))))</f>
      </c>
      <c r="P50" s="141">
        <f t="shared" si="10"/>
      </c>
      <c r="Q50" s="141">
        <f t="shared" si="10"/>
      </c>
      <c r="R50" s="30"/>
      <c r="S50" s="45"/>
      <c r="T50" s="30"/>
      <c r="U50" s="237" t="s">
        <v>26</v>
      </c>
      <c r="V50" s="28"/>
      <c r="W50" s="238">
        <f>IF(L50="–",0,IF($U50="Positive Number",IF(OR(L50&lt;0,ISTEXT(L50),ISERROR(L50)),1,0),IF(OR(ISTEXT(L50),ISERROR(L50)),1,0)))</f>
        <v>1</v>
      </c>
      <c r="X50" s="239">
        <f>IF(O50="–",0,IF($U50="Positive Number",IF(OR(O50&lt;0,ISTEXT(O50),ISERROR(O50)),1,0),IF(OR(ISTEXT(O50),ISERROR(O50)),1,0)))</f>
        <v>1</v>
      </c>
      <c r="Y50" s="239">
        <f>IF(P50="–",0,IF($U50="Positive Number",IF(OR(P50&lt;0,ISTEXT(P50),ISERROR(P50)),1,0),IF(OR(ISTEXT(P50),ISERROR(P50)),1,0)))</f>
        <v>1</v>
      </c>
      <c r="Z50" s="239">
        <f>IF(Q50="–",0,IF($U50="Positive Number",IF(OR(Q50&lt;0,ISTEXT(Q50),ISERROR(Q50)),1,0),IF(OR(ISTEXT(Q50),ISERROR(Q50)),1,0)))</f>
        <v>1</v>
      </c>
      <c r="AA50" s="263"/>
      <c r="AB50" s="47"/>
    </row>
    <row r="51" spans="1:28" s="207" customFormat="1" ht="13.5" customHeight="1">
      <c r="A51" s="1"/>
      <c r="B51" s="270"/>
      <c r="C51" s="4" t="str">
        <f>"SUBTOTAL – Assets under management – "&amp;D51</f>
        <v>SUBTOTAL – Assets under management – Leverage exposure – look-through (CHF million)</v>
      </c>
      <c r="D51" s="86" t="s">
        <v>161</v>
      </c>
      <c r="E51" s="86"/>
      <c r="F51" s="30"/>
      <c r="G51" s="170">
        <v>257397</v>
      </c>
      <c r="H51" s="170">
        <v>260479</v>
      </c>
      <c r="I51" s="170">
        <v>256207</v>
      </c>
      <c r="J51" s="170">
        <v>257054</v>
      </c>
      <c r="K51" s="170">
        <v>246997</v>
      </c>
      <c r="L51" s="141">
        <f>IF(L$27="No","–",IF(INDEX(CS_CONS_LINK_ARRAY,MATCH($C51,CS_CONS_LINK_COLUMN,0),MATCH(L$1,CS_CONS_LINK_ROW,0))="","",INDEX(CS_CONS_LINK_ARRAY,MATCH($C51,CS_CONS_LINK_COLUMN,0),MATCH(L$1,CS_CONS_LINK_ROW,0))))</f>
      </c>
      <c r="M51" s="156"/>
      <c r="N51" s="170">
        <v>257054</v>
      </c>
      <c r="O51" s="141">
        <f t="shared" si="10"/>
      </c>
      <c r="P51" s="141">
        <f t="shared" si="10"/>
      </c>
      <c r="Q51" s="141">
        <f t="shared" si="10"/>
      </c>
      <c r="R51" s="30"/>
      <c r="S51" s="45"/>
      <c r="T51" s="30"/>
      <c r="U51" s="237"/>
      <c r="V51" s="30"/>
      <c r="W51" s="16"/>
      <c r="X51" s="61"/>
      <c r="Y51" s="61"/>
      <c r="Z51" s="61"/>
      <c r="AA51" s="263"/>
      <c r="AB51" s="47"/>
    </row>
    <row r="52" spans="1:28" ht="13.5" customHeight="1">
      <c r="A52" s="1"/>
      <c r="B52" s="301"/>
      <c r="C52" s="302"/>
      <c r="D52" s="427"/>
      <c r="E52" s="427"/>
      <c r="F52" s="428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8"/>
      <c r="S52" s="428"/>
      <c r="T52" s="428"/>
      <c r="U52" s="326"/>
      <c r="V52" s="327"/>
      <c r="W52" s="327"/>
      <c r="X52" s="327"/>
      <c r="Y52" s="327"/>
      <c r="Z52" s="327"/>
      <c r="AA52" s="270"/>
      <c r="AB52" s="47"/>
    </row>
    <row r="53" spans="1:28" ht="27" customHeight="1">
      <c r="A53" s="1"/>
      <c r="B53" s="301"/>
      <c r="C53" s="330"/>
      <c r="D53" s="331" t="s">
        <v>264</v>
      </c>
      <c r="E53" s="331"/>
      <c r="F53" s="269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269"/>
      <c r="S53" s="269"/>
      <c r="T53" s="269"/>
      <c r="U53" s="426"/>
      <c r="V53" s="100"/>
      <c r="W53" s="100"/>
      <c r="X53" s="100"/>
      <c r="Y53" s="100"/>
      <c r="Z53" s="100"/>
      <c r="AA53" s="270"/>
      <c r="AB53" s="47"/>
    </row>
    <row r="54" spans="1:28" ht="13.5" customHeight="1">
      <c r="A54" s="1"/>
      <c r="B54" s="263"/>
      <c r="C54" s="2"/>
      <c r="D54" s="2"/>
      <c r="E54" s="2"/>
      <c r="F54" s="2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2"/>
      <c r="S54" s="2"/>
      <c r="T54" s="2"/>
      <c r="U54" s="2"/>
      <c r="V54" s="2"/>
      <c r="W54" s="2"/>
      <c r="X54" s="2"/>
      <c r="Y54" s="2"/>
      <c r="Z54" s="2"/>
      <c r="AA54" s="263"/>
      <c r="AB54" s="47"/>
    </row>
    <row r="55" spans="1:28" ht="13.5" customHeight="1">
      <c r="A55" s="1"/>
      <c r="B55" s="270"/>
      <c r="C55" s="3"/>
      <c r="D55" s="3" t="s">
        <v>0</v>
      </c>
      <c r="E55" s="26"/>
      <c r="F55" s="26"/>
      <c r="G55" s="138"/>
      <c r="H55" s="138"/>
      <c r="I55" s="138"/>
      <c r="J55" s="138"/>
      <c r="K55" s="138"/>
      <c r="L55" s="138"/>
      <c r="M55" s="139"/>
      <c r="N55" s="138"/>
      <c r="O55" s="138"/>
      <c r="P55" s="138"/>
      <c r="Q55" s="138"/>
      <c r="R55" s="26"/>
      <c r="S55" s="3"/>
      <c r="T55" s="26"/>
      <c r="U55" s="3"/>
      <c r="V55" s="26"/>
      <c r="W55" s="3"/>
      <c r="X55" s="3"/>
      <c r="Y55" s="3"/>
      <c r="Z55" s="3"/>
      <c r="AA55" s="263"/>
      <c r="AB55" s="47"/>
    </row>
    <row r="56" spans="1:28" ht="13.5" customHeight="1">
      <c r="A56" s="1"/>
      <c r="B56" s="270"/>
      <c r="C56" s="4" t="str">
        <f aca="true" t="shared" si="11" ref="C56:C65">"SUBPC – Income statement – "&amp;D56</f>
        <v>SUBPC – Income statement – Net interest income</v>
      </c>
      <c r="D56" s="218" t="s">
        <v>194</v>
      </c>
      <c r="E56" s="290"/>
      <c r="F56" s="33"/>
      <c r="G56" s="170">
        <v>413</v>
      </c>
      <c r="H56" s="170">
        <v>408</v>
      </c>
      <c r="I56" s="170">
        <v>421</v>
      </c>
      <c r="J56" s="170">
        <v>428</v>
      </c>
      <c r="K56" s="170">
        <v>428</v>
      </c>
      <c r="L56" s="141">
        <f>IF(L$27="No","–",IF(INDEX(CS_CONS_LINK_ARRAY,MATCH($C56,CS_CONS_LINK_COLUMN,0),MATCH(L$1,CS_CONS_LINK_ROW,0))="","",INDEX(CS_CONS_LINK_ARRAY,MATCH($C56,CS_CONS_LINK_COLUMN,0),MATCH(L$1,CS_CONS_LINK_ROW,0))))</f>
      </c>
      <c r="M56" s="142"/>
      <c r="N56" s="170">
        <v>1670</v>
      </c>
      <c r="O56" s="141">
        <f aca="true" t="shared" si="12" ref="O56:Q59">IF(O$27="No","–",IF(INDEX(CS_CONS_LINK_ARRAY,MATCH($C56,CS_CONS_LINK_COLUMN,0),MATCH(O$1,CS_CONS_LINK_ROW,0))="","",INDEX(CS_CONS_LINK_ARRAY,MATCH($C56,CS_CONS_LINK_COLUMN,0),MATCH(O$1,CS_CONS_LINK_ROW,0))))</f>
      </c>
      <c r="P56" s="141">
        <f t="shared" si="12"/>
      </c>
      <c r="Q56" s="141">
        <f t="shared" si="12"/>
      </c>
      <c r="R56" s="33"/>
      <c r="S56" s="45"/>
      <c r="T56" s="33"/>
      <c r="U56" s="38" t="s">
        <v>26</v>
      </c>
      <c r="V56" s="33"/>
      <c r="W56" s="37">
        <f aca="true" t="shared" si="13" ref="W56:W64">IF(L56="–",0,IF($U56="Positive Number",IF(OR(L56&lt;0,ISTEXT(L56),ISERROR(L56)),1,0),IF(OR(ISTEXT(L56),ISERROR(L56)),1,0)))</f>
        <v>1</v>
      </c>
      <c r="X56" s="57">
        <f aca="true" t="shared" si="14" ref="X56:Z64">IF(O56="–",0,IF($U56="Positive Number",IF(OR(O56&lt;0,ISTEXT(O56),ISERROR(O56)),1,0),IF(OR(ISTEXT(O56),ISERROR(O56)),1,0)))</f>
        <v>1</v>
      </c>
      <c r="Y56" s="57">
        <f t="shared" si="14"/>
        <v>1</v>
      </c>
      <c r="Z56" s="57">
        <f t="shared" si="14"/>
        <v>1</v>
      </c>
      <c r="AA56" s="264"/>
      <c r="AB56" s="47"/>
    </row>
    <row r="57" spans="1:28" ht="13.5" customHeight="1">
      <c r="A57" s="1"/>
      <c r="B57" s="270"/>
      <c r="C57" s="4" t="str">
        <f t="shared" si="11"/>
        <v>SUBPC – Income statement – Recurring commissions and fees</v>
      </c>
      <c r="D57" s="218" t="s">
        <v>140</v>
      </c>
      <c r="E57" s="290"/>
      <c r="F57" s="33"/>
      <c r="G57" s="170">
        <v>197</v>
      </c>
      <c r="H57" s="170">
        <v>202</v>
      </c>
      <c r="I57" s="170">
        <v>205</v>
      </c>
      <c r="J57" s="170">
        <v>208</v>
      </c>
      <c r="K57" s="170">
        <v>206</v>
      </c>
      <c r="L57" s="141">
        <f>IF(L$27="No","–",IF(INDEX(CS_CONS_LINK_ARRAY,MATCH($C57,CS_CONS_LINK_COLUMN,0),MATCH(L$1,CS_CONS_LINK_ROW,0))="","",INDEX(CS_CONS_LINK_ARRAY,MATCH($C57,CS_CONS_LINK_COLUMN,0),MATCH(L$1,CS_CONS_LINK_ROW,0))))</f>
      </c>
      <c r="M57" s="142"/>
      <c r="N57" s="170">
        <v>812</v>
      </c>
      <c r="O57" s="141">
        <f t="shared" si="12"/>
      </c>
      <c r="P57" s="141">
        <f t="shared" si="12"/>
      </c>
      <c r="Q57" s="141">
        <f t="shared" si="12"/>
      </c>
      <c r="R57" s="33"/>
      <c r="S57" s="45"/>
      <c r="T57" s="33"/>
      <c r="U57" s="38" t="s">
        <v>26</v>
      </c>
      <c r="V57" s="33"/>
      <c r="W57" s="37">
        <f t="shared" si="13"/>
        <v>1</v>
      </c>
      <c r="X57" s="57">
        <f>IF(O57="–",0,IF($U57="Positive Number",IF(OR(O57&lt;0,ISTEXT(O57),ISERROR(O57)),1,0),IF(OR(ISTEXT(O57),ISERROR(O57)),1,0)))</f>
        <v>1</v>
      </c>
      <c r="Y57" s="57">
        <f>IF(P57="–",0,IF($U57="Positive Number",IF(OR(P57&lt;0,ISTEXT(P57),ISERROR(P57)),1,0),IF(OR(ISTEXT(P57),ISERROR(P57)),1,0)))</f>
        <v>1</v>
      </c>
      <c r="Z57" s="57">
        <f>IF(Q57="–",0,IF($U57="Positive Number",IF(OR(Q57&lt;0,ISTEXT(Q57),ISERROR(Q57)),1,0),IF(OR(ISTEXT(Q57),ISERROR(Q57)),1,0)))</f>
        <v>1</v>
      </c>
      <c r="AA57" s="264"/>
      <c r="AB57" s="47"/>
    </row>
    <row r="58" spans="1:28" ht="13.5" customHeight="1">
      <c r="A58" s="1"/>
      <c r="B58" s="270"/>
      <c r="C58" s="4" t="str">
        <f t="shared" si="11"/>
        <v>SUBPC – Income statement – Transaction and performance-based revenues</v>
      </c>
      <c r="D58" s="218" t="s">
        <v>141</v>
      </c>
      <c r="E58" s="290"/>
      <c r="F58" s="33"/>
      <c r="G58" s="170">
        <v>100</v>
      </c>
      <c r="H58" s="170">
        <v>123</v>
      </c>
      <c r="I58" s="170">
        <v>101</v>
      </c>
      <c r="J58" s="170">
        <v>89</v>
      </c>
      <c r="K58" s="170">
        <v>109</v>
      </c>
      <c r="L58" s="141">
        <f>IF(L$27="No","–",IF(INDEX(CS_CONS_LINK_ARRAY,MATCH($C58,CS_CONS_LINK_COLUMN,0),MATCH(L$1,CS_CONS_LINK_ROW,0))="","",INDEX(CS_CONS_LINK_ARRAY,MATCH($C58,CS_CONS_LINK_COLUMN,0),MATCH(L$1,CS_CONS_LINK_ROW,0))))</f>
      </c>
      <c r="M58" s="142"/>
      <c r="N58" s="170">
        <v>413</v>
      </c>
      <c r="O58" s="141">
        <f t="shared" si="12"/>
      </c>
      <c r="P58" s="141">
        <f t="shared" si="12"/>
      </c>
      <c r="Q58" s="141">
        <f t="shared" si="12"/>
      </c>
      <c r="R58" s="33"/>
      <c r="S58" s="45"/>
      <c r="T58" s="33"/>
      <c r="U58" s="38" t="s">
        <v>26</v>
      </c>
      <c r="V58" s="33"/>
      <c r="W58" s="37">
        <f t="shared" si="13"/>
        <v>1</v>
      </c>
      <c r="X58" s="57">
        <f t="shared" si="14"/>
        <v>1</v>
      </c>
      <c r="Y58" s="57">
        <f t="shared" si="14"/>
        <v>1</v>
      </c>
      <c r="Z58" s="57">
        <f t="shared" si="14"/>
        <v>1</v>
      </c>
      <c r="AA58" s="264"/>
      <c r="AB58" s="47"/>
    </row>
    <row r="59" spans="1:28" s="207" customFormat="1" ht="13.5" customHeight="1">
      <c r="A59" s="1"/>
      <c r="B59" s="270"/>
      <c r="C59" s="4" t="str">
        <f t="shared" si="11"/>
        <v>SUBPC – Income statement – Other revenues</v>
      </c>
      <c r="D59" s="218" t="s">
        <v>136</v>
      </c>
      <c r="E59" s="290"/>
      <c r="F59" s="33"/>
      <c r="G59" s="170">
        <v>1</v>
      </c>
      <c r="H59" s="170">
        <v>0</v>
      </c>
      <c r="I59" s="170">
        <v>0</v>
      </c>
      <c r="J59" s="170">
        <v>1</v>
      </c>
      <c r="K59" s="170">
        <v>19</v>
      </c>
      <c r="L59" s="141">
        <f>IF(L$27="No","–",IF(INDEX(CS_CONS_LINK_ARRAY,MATCH($C59,CS_CONS_LINK_COLUMN,0),MATCH(L$1,CS_CONS_LINK_ROW,0))="","",INDEX(CS_CONS_LINK_ARRAY,MATCH($C59,CS_CONS_LINK_COLUMN,0),MATCH(L$1,CS_CONS_LINK_ROW,0))))</f>
      </c>
      <c r="M59" s="142"/>
      <c r="N59" s="170">
        <v>2</v>
      </c>
      <c r="O59" s="141">
        <f t="shared" si="12"/>
      </c>
      <c r="P59" s="141">
        <f t="shared" si="12"/>
      </c>
      <c r="Q59" s="141">
        <f t="shared" si="12"/>
      </c>
      <c r="R59" s="33"/>
      <c r="S59" s="45"/>
      <c r="T59" s="33"/>
      <c r="U59" s="237" t="s">
        <v>26</v>
      </c>
      <c r="V59" s="33"/>
      <c r="W59" s="238">
        <f t="shared" si="13"/>
        <v>1</v>
      </c>
      <c r="X59" s="239">
        <f t="shared" si="14"/>
        <v>1</v>
      </c>
      <c r="Y59" s="239">
        <f t="shared" si="14"/>
        <v>1</v>
      </c>
      <c r="Z59" s="239">
        <f t="shared" si="14"/>
        <v>1</v>
      </c>
      <c r="AA59" s="263"/>
      <c r="AB59" s="47"/>
    </row>
    <row r="60" spans="1:28" ht="13.5" customHeight="1">
      <c r="A60" s="1"/>
      <c r="B60" s="270"/>
      <c r="C60" s="4" t="str">
        <f t="shared" si="11"/>
        <v>SUBPC – Income statement – Net revenues</v>
      </c>
      <c r="D60" s="288" t="s">
        <v>1</v>
      </c>
      <c r="E60" s="289"/>
      <c r="F60" s="27"/>
      <c r="G60" s="277">
        <f>IF(ISERROR(G56+G57+G58+G59),"–",G56+G57+G58+G59)</f>
        <v>711</v>
      </c>
      <c r="H60" s="277">
        <f>IF(ISERROR(H56+H57+H58+H59),"–",H56+H57+H58+H59)</f>
        <v>733</v>
      </c>
      <c r="I60" s="277">
        <f>IF(ISERROR(I56+I57+I58+I59),"–",I56+I57+I58+I59)</f>
        <v>727</v>
      </c>
      <c r="J60" s="277">
        <f>IF(ISERROR(J56+J57+J58+J59),"–",J56+J57+J58+J59)</f>
        <v>726</v>
      </c>
      <c r="K60" s="277">
        <f>IF(ISERROR(K56+K57+K58+K59),"–",K56+K57+K58+K59)</f>
        <v>762</v>
      </c>
      <c r="L60" s="277" t="str">
        <f>IF(ISERROR(L56+L57+L58+L59),"–",L56+L57+L58+L59)</f>
        <v>–</v>
      </c>
      <c r="M60" s="153"/>
      <c r="N60" s="277">
        <f>IF(ISERROR(N56+N57+N58+N59),"–",N56+N57+N58+N59)</f>
        <v>2897</v>
      </c>
      <c r="O60" s="277" t="str">
        <f>IF(ISERROR(O56+O57+O58+O59),"–",O56+O57+O58+O59)</f>
        <v>–</v>
      </c>
      <c r="P60" s="277" t="str">
        <f>IF(ISERROR(P56+P57+P58+P59),"–",P56+P57+P58+P59)</f>
        <v>–</v>
      </c>
      <c r="Q60" s="277" t="str">
        <f>IF(ISERROR(Q56+Q57+Q58+Q59),"–",Q56+Q57+Q58+Q59)</f>
        <v>–</v>
      </c>
      <c r="R60" s="27"/>
      <c r="S60" s="45"/>
      <c r="T60" s="27"/>
      <c r="U60" s="38" t="s">
        <v>25</v>
      </c>
      <c r="V60" s="27"/>
      <c r="W60" s="37">
        <f t="shared" si="13"/>
        <v>0</v>
      </c>
      <c r="X60" s="57">
        <f t="shared" si="14"/>
        <v>0</v>
      </c>
      <c r="Y60" s="57">
        <f t="shared" si="14"/>
        <v>0</v>
      </c>
      <c r="Z60" s="57">
        <f t="shared" si="14"/>
        <v>0</v>
      </c>
      <c r="AA60" s="263"/>
      <c r="AB60" s="47"/>
    </row>
    <row r="61" spans="1:28" ht="13.5" customHeight="1">
      <c r="A61" s="10"/>
      <c r="B61" s="270"/>
      <c r="C61" s="4" t="str">
        <f t="shared" si="11"/>
        <v>SUBPC – Income statement – Provision for credit losses</v>
      </c>
      <c r="D61" s="288" t="s">
        <v>5</v>
      </c>
      <c r="E61" s="289"/>
      <c r="F61" s="27"/>
      <c r="G61" s="145">
        <v>12</v>
      </c>
      <c r="H61" s="145">
        <v>11</v>
      </c>
      <c r="I61" s="145">
        <v>9</v>
      </c>
      <c r="J61" s="145">
        <v>10</v>
      </c>
      <c r="K61" s="145">
        <v>10</v>
      </c>
      <c r="L61" s="141">
        <f>IF(L$27="No","–",IF(INDEX(CS_CONS_LINK_ARRAY,MATCH($C61,CS_CONS_LINK_COLUMN,0),MATCH(L$1,CS_CONS_LINK_ROW,0))="","",INDEX(CS_CONS_LINK_ARRAY,MATCH($C61,CS_CONS_LINK_COLUMN,0),MATCH(L$1,CS_CONS_LINK_ROW,0))))</f>
      </c>
      <c r="M61" s="153"/>
      <c r="N61" s="145">
        <v>42</v>
      </c>
      <c r="O61" s="147">
        <f aca="true" t="shared" si="15" ref="O61:Q63">IF(O$27="No","–",IF(INDEX(CS_CONS_LINK_ARRAY,MATCH($C61,CS_CONS_LINK_COLUMN,0),MATCH(O$1,CS_CONS_LINK_ROW,0))="","",INDEX(CS_CONS_LINK_ARRAY,MATCH($C61,CS_CONS_LINK_COLUMN,0),MATCH(O$1,CS_CONS_LINK_ROW,0))))</f>
      </c>
      <c r="P61" s="147">
        <f t="shared" si="15"/>
      </c>
      <c r="Q61" s="147">
        <f t="shared" si="15"/>
      </c>
      <c r="R61" s="27"/>
      <c r="S61" s="45"/>
      <c r="T61" s="27"/>
      <c r="U61" s="38" t="s">
        <v>26</v>
      </c>
      <c r="V61" s="27"/>
      <c r="W61" s="37">
        <f t="shared" si="13"/>
        <v>1</v>
      </c>
      <c r="X61" s="57">
        <f t="shared" si="14"/>
        <v>1</v>
      </c>
      <c r="Y61" s="57">
        <f t="shared" si="14"/>
        <v>1</v>
      </c>
      <c r="Z61" s="57">
        <f t="shared" si="14"/>
        <v>1</v>
      </c>
      <c r="AA61" s="263"/>
      <c r="AB61" s="64"/>
    </row>
    <row r="62" spans="1:28" ht="13.5" customHeight="1">
      <c r="A62" s="1"/>
      <c r="B62" s="270"/>
      <c r="C62" s="4" t="str">
        <f t="shared" si="11"/>
        <v>SUBPC – Income statement – Compensation and benefits</v>
      </c>
      <c r="D62" s="76" t="s">
        <v>6</v>
      </c>
      <c r="E62" s="84"/>
      <c r="F62" s="33"/>
      <c r="G62" s="170">
        <v>264</v>
      </c>
      <c r="H62" s="170">
        <v>275</v>
      </c>
      <c r="I62" s="170">
        <v>274</v>
      </c>
      <c r="J62" s="170">
        <v>275</v>
      </c>
      <c r="K62" s="170">
        <v>277</v>
      </c>
      <c r="L62" s="141">
        <f>IF(L$27="No","–",IF(INDEX(CS_CONS_LINK_ARRAY,MATCH($C62,CS_CONS_LINK_COLUMN,0),MATCH(L$1,CS_CONS_LINK_ROW,0))="","",INDEX(CS_CONS_LINK_ARRAY,MATCH($C62,CS_CONS_LINK_COLUMN,0),MATCH(L$1,CS_CONS_LINK_ROW,0))))</f>
      </c>
      <c r="M62" s="142"/>
      <c r="N62" s="170">
        <v>1000</v>
      </c>
      <c r="O62" s="141">
        <f t="shared" si="15"/>
      </c>
      <c r="P62" s="141">
        <f t="shared" si="15"/>
      </c>
      <c r="Q62" s="141">
        <f t="shared" si="15"/>
      </c>
      <c r="R62" s="33"/>
      <c r="S62" s="45"/>
      <c r="T62" s="33"/>
      <c r="U62" s="38" t="s">
        <v>25</v>
      </c>
      <c r="V62" s="33"/>
      <c r="W62" s="37">
        <f t="shared" si="13"/>
        <v>1</v>
      </c>
      <c r="X62" s="57">
        <f t="shared" si="14"/>
        <v>1</v>
      </c>
      <c r="Y62" s="57">
        <f t="shared" si="14"/>
        <v>1</v>
      </c>
      <c r="Z62" s="57">
        <f t="shared" si="14"/>
        <v>1</v>
      </c>
      <c r="AA62" s="263"/>
      <c r="AB62" s="47"/>
    </row>
    <row r="63" spans="1:28" ht="13.5" customHeight="1">
      <c r="A63" s="1"/>
      <c r="B63" s="270"/>
      <c r="C63" s="4" t="str">
        <f t="shared" si="11"/>
        <v>SUBPC – Income statement – Total other operating expenses</v>
      </c>
      <c r="D63" s="76" t="s">
        <v>137</v>
      </c>
      <c r="E63" s="84"/>
      <c r="F63" s="33"/>
      <c r="G63" s="170">
        <v>274</v>
      </c>
      <c r="H63" s="170">
        <v>225</v>
      </c>
      <c r="I63" s="170">
        <v>238</v>
      </c>
      <c r="J63" s="170">
        <v>229</v>
      </c>
      <c r="K63" s="170">
        <v>210</v>
      </c>
      <c r="L63" s="141">
        <f>IF(L$27="No","–",IF(INDEX(CS_CONS_LINK_ARRAY,MATCH($C63,CS_CONS_LINK_COLUMN,0),MATCH(L$1,CS_CONS_LINK_ROW,0))="","",INDEX(CS_CONS_LINK_ARRAY,MATCH($C63,CS_CONS_LINK_COLUMN,0),MATCH(L$1,CS_CONS_LINK_ROW,0))))</f>
      </c>
      <c r="M63" s="142"/>
      <c r="N63" s="170">
        <v>1054</v>
      </c>
      <c r="O63" s="141">
        <f t="shared" si="15"/>
      </c>
      <c r="P63" s="141">
        <f t="shared" si="15"/>
      </c>
      <c r="Q63" s="141">
        <f t="shared" si="15"/>
      </c>
      <c r="R63" s="33"/>
      <c r="S63" s="45"/>
      <c r="T63" s="33"/>
      <c r="U63" s="38" t="s">
        <v>25</v>
      </c>
      <c r="V63" s="33"/>
      <c r="W63" s="37">
        <f t="shared" si="13"/>
        <v>1</v>
      </c>
      <c r="X63" s="57">
        <f t="shared" si="14"/>
        <v>1</v>
      </c>
      <c r="Y63" s="57">
        <f t="shared" si="14"/>
        <v>1</v>
      </c>
      <c r="Z63" s="57">
        <f t="shared" si="14"/>
        <v>1</v>
      </c>
      <c r="AA63" s="263"/>
      <c r="AB63" s="47"/>
    </row>
    <row r="64" spans="1:28" ht="13.5" customHeight="1">
      <c r="A64" s="1"/>
      <c r="B64" s="270"/>
      <c r="C64" s="4" t="str">
        <f t="shared" si="11"/>
        <v>SUBPC – Income statement – Total operating expenses</v>
      </c>
      <c r="D64" s="288" t="s">
        <v>7</v>
      </c>
      <c r="E64" s="289"/>
      <c r="F64" s="29"/>
      <c r="G64" s="277">
        <f>IF(ISERROR(G62+G63),"–",G62+G63)</f>
        <v>538</v>
      </c>
      <c r="H64" s="277">
        <f>IF(ISERROR(H62+H63),"–",H62+H63)</f>
        <v>500</v>
      </c>
      <c r="I64" s="277">
        <f>IF(ISERROR(I62+I63),"–",I62+I63)</f>
        <v>512</v>
      </c>
      <c r="J64" s="277">
        <f>IF(ISERROR(J62+J63),"–",J62+J63)</f>
        <v>504</v>
      </c>
      <c r="K64" s="277">
        <f>IF(ISERROR(K62+K63),"–",K62+K63)</f>
        <v>487</v>
      </c>
      <c r="L64" s="277" t="str">
        <f>IF(ISERROR(L62+L63),"–",L62+L63)</f>
        <v>–</v>
      </c>
      <c r="M64" s="154"/>
      <c r="N64" s="277">
        <f>IF(ISERROR(N62+N63),"–",N62+N63)</f>
        <v>2054</v>
      </c>
      <c r="O64" s="277" t="str">
        <f>IF(ISERROR(O62+O63),"–",O62+O63)</f>
        <v>–</v>
      </c>
      <c r="P64" s="277" t="str">
        <f>IF(ISERROR(P62+P63),"–",P62+P63)</f>
        <v>–</v>
      </c>
      <c r="Q64" s="277" t="str">
        <f>IF(ISERROR(Q62+Q63),"–",Q62+Q63)</f>
        <v>–</v>
      </c>
      <c r="R64" s="29"/>
      <c r="S64" s="45"/>
      <c r="T64" s="29"/>
      <c r="U64" s="38" t="s">
        <v>26</v>
      </c>
      <c r="V64" s="27"/>
      <c r="W64" s="37">
        <f t="shared" si="13"/>
        <v>0</v>
      </c>
      <c r="X64" s="57">
        <f t="shared" si="14"/>
        <v>0</v>
      </c>
      <c r="Y64" s="57">
        <f t="shared" si="14"/>
        <v>0</v>
      </c>
      <c r="Z64" s="57">
        <f t="shared" si="14"/>
        <v>0</v>
      </c>
      <c r="AA64" s="263"/>
      <c r="AB64" s="47"/>
    </row>
    <row r="65" spans="1:28" ht="13.5" customHeight="1">
      <c r="A65" s="1"/>
      <c r="B65" s="270"/>
      <c r="C65" s="4" t="str">
        <f t="shared" si="11"/>
        <v>SUBPC – Income statement – Income from continuing operations before taxes</v>
      </c>
      <c r="D65" s="75" t="s">
        <v>8</v>
      </c>
      <c r="E65" s="83"/>
      <c r="F65" s="29"/>
      <c r="G65" s="145">
        <f>IF(ISERROR(G60-G61-G64),"–",G60-G61-G64)</f>
        <v>161</v>
      </c>
      <c r="H65" s="145">
        <f>IF(ISERROR(H60-H61-H64),"–",H60-H61-H64)</f>
        <v>222</v>
      </c>
      <c r="I65" s="145">
        <f>IF(ISERROR(I60-I61-I64),"–",I60-I61-I64)</f>
        <v>206</v>
      </c>
      <c r="J65" s="145">
        <f>IF(ISERROR(J60-J61-J64),"–",J60-J61-J64)</f>
        <v>212</v>
      </c>
      <c r="K65" s="145">
        <f>IF(ISERROR(K60-K61-K64),"–",K60-K61-K64)</f>
        <v>265</v>
      </c>
      <c r="L65" s="145" t="str">
        <f>IF(ISERROR(L60-L61-L64),"–",L60-L61-L64)</f>
        <v>–</v>
      </c>
      <c r="M65" s="154"/>
      <c r="N65" s="274">
        <f>IF(ISERROR(N60-N61-N64),"–",N60-N61-N64)</f>
        <v>801</v>
      </c>
      <c r="O65" s="145" t="str">
        <f>IF(ISERROR(O60-O61-O64),"–",O60-O61-O64)</f>
        <v>–</v>
      </c>
      <c r="P65" s="145" t="str">
        <f>IF(ISERROR(P60-P61-P64),"–",P60-P61-P64)</f>
        <v>–</v>
      </c>
      <c r="Q65" s="145" t="str">
        <f>IF(ISERROR(Q60-Q61-Q64),"–",Q60-Q61-Q64)</f>
        <v>–</v>
      </c>
      <c r="R65" s="29"/>
      <c r="S65" s="45"/>
      <c r="T65" s="29"/>
      <c r="U65" s="36"/>
      <c r="V65" s="29"/>
      <c r="W65" s="5"/>
      <c r="X65" s="54"/>
      <c r="Y65" s="54"/>
      <c r="Z65" s="54"/>
      <c r="AA65" s="263"/>
      <c r="AB65" s="47"/>
    </row>
    <row r="66" spans="1:28" ht="13.5" customHeight="1">
      <c r="A66" s="1"/>
      <c r="B66" s="270"/>
      <c r="C66" s="6"/>
      <c r="D66" s="7"/>
      <c r="E66" s="35"/>
      <c r="F66" s="29"/>
      <c r="G66" s="8"/>
      <c r="H66" s="8"/>
      <c r="I66" s="8"/>
      <c r="J66" s="8"/>
      <c r="K66" s="8"/>
      <c r="L66" s="8"/>
      <c r="M66" s="154"/>
      <c r="N66" s="8"/>
      <c r="O66" s="8"/>
      <c r="P66" s="8"/>
      <c r="Q66" s="8"/>
      <c r="R66" s="29"/>
      <c r="S66" s="8"/>
      <c r="T66" s="29"/>
      <c r="U66" s="6"/>
      <c r="V66" s="29"/>
      <c r="W66" s="34"/>
      <c r="X66" s="8"/>
      <c r="Y66" s="8"/>
      <c r="Z66" s="8"/>
      <c r="AA66" s="263"/>
      <c r="AB66" s="47"/>
    </row>
    <row r="67" spans="1:28" ht="13.5" customHeight="1" hidden="1">
      <c r="A67" s="1"/>
      <c r="B67" s="270"/>
      <c r="C67" s="4" t="str">
        <f>"SUBPC – Income statement – "&amp;D67</f>
        <v>SUBPC – Income statement – Compensation ratio (%)</v>
      </c>
      <c r="D67" s="82" t="s">
        <v>9</v>
      </c>
      <c r="E67" s="91"/>
      <c r="F67" s="33"/>
      <c r="G67" s="151">
        <f>IF(ISERROR(G62/G60),"–",IF(ABS(G62/G60*100)&gt;NM,"–",G62/G60*100))</f>
        <v>37.130801687763714</v>
      </c>
      <c r="H67" s="151">
        <f>IF(ISERROR(H62/H60),"–",IF(ABS(H62/H60*100)&gt;NM,"–",H62/H60*100))</f>
        <v>37.51705320600273</v>
      </c>
      <c r="I67" s="151">
        <f>IF(ISERROR(I62/I60),"–",IF(ABS(I62/I60*100)&gt;NM,"–",I62/I60*100))</f>
        <v>37.689133425034385</v>
      </c>
      <c r="J67" s="151">
        <f>IF(ISERROR(J62/J60),"–",IF(ABS(J62/J60*100)&gt;NM,"–",J62/J60*100))</f>
        <v>37.878787878787875</v>
      </c>
      <c r="K67" s="151">
        <f>IF(ISERROR(K62/K60),"–",IF(ABS(K62/K60*100)&gt;NM,"–",K62/K60*100))</f>
        <v>36.351706036745405</v>
      </c>
      <c r="L67" s="151" t="str">
        <f>IF(ISERROR(L62/L60),"–",IF(ABS(L62/L60*100)&gt;NM,"–",L62/L60*100))</f>
        <v>–</v>
      </c>
      <c r="M67" s="142"/>
      <c r="N67" s="151">
        <f>IF(ISERROR(N62/N60),"–",IF(ABS(N62/N60*100)&gt;NM,"–",N62/N60*100))</f>
        <v>34.51846738004832</v>
      </c>
      <c r="O67" s="151" t="str">
        <f>IF(ISERROR(O62/O60),"–",IF(ABS(O62/O60*100)&gt;NM,"–",O62/O60*100))</f>
        <v>–</v>
      </c>
      <c r="P67" s="151" t="str">
        <f>IF(ISERROR(P62/P60),"–",IF(ABS(P62/P60*100)&gt;NM,"–",P62/P60*100))</f>
        <v>–</v>
      </c>
      <c r="Q67" s="151" t="str">
        <f>IF(ISERROR(Q62/Q60),"–",IF(ABS(Q62/Q60*100)&gt;NM,"–",Q62/Q60*100))</f>
        <v>–</v>
      </c>
      <c r="R67" s="33"/>
      <c r="S67" s="45"/>
      <c r="T67" s="33"/>
      <c r="U67" s="4"/>
      <c r="V67" s="33"/>
      <c r="W67" s="12"/>
      <c r="X67" s="58"/>
      <c r="Y67" s="58"/>
      <c r="Z67" s="58"/>
      <c r="AA67" s="263"/>
      <c r="AB67" s="47"/>
    </row>
    <row r="68" spans="1:28" ht="13.5" customHeight="1" hidden="1">
      <c r="A68" s="1"/>
      <c r="B68" s="270"/>
      <c r="C68" s="4" t="str">
        <f>"SUBPC – Income statement – "&amp;D68</f>
        <v>SUBPC – Income statement – Non-compensation ratio (%)</v>
      </c>
      <c r="D68" s="82" t="s">
        <v>10</v>
      </c>
      <c r="E68" s="91"/>
      <c r="F68" s="33"/>
      <c r="G68" s="151">
        <f>IF(ISERROR(G63/G60),"–",IF(ABS(G63/G60*100)&gt;NM,"–",G63/G60*100))</f>
        <v>38.53727144866385</v>
      </c>
      <c r="H68" s="151">
        <f>IF(ISERROR(H63/H60),"–",IF(ABS(H63/H60*100)&gt;NM,"–",H63/H60*100))</f>
        <v>30.69577080491132</v>
      </c>
      <c r="I68" s="151">
        <f>IF(ISERROR(I63/I60),"–",IF(ABS(I63/I60*100)&gt;NM,"–",I63/I60*100))</f>
        <v>32.737276478679505</v>
      </c>
      <c r="J68" s="151">
        <f>IF(ISERROR(J63/J60),"–",IF(ABS(J63/J60*100)&gt;NM,"–",J63/J60*100))</f>
        <v>31.54269972451791</v>
      </c>
      <c r="K68" s="151">
        <f>IF(ISERROR(K63/K60),"–",IF(ABS(K63/K60*100)&gt;NM,"–",K63/K60*100))</f>
        <v>27.559055118110237</v>
      </c>
      <c r="L68" s="151" t="str">
        <f>IF(ISERROR(L63/L60),"–",IF(ABS(L63/L60*100)&gt;NM,"–",L63/L60*100))</f>
        <v>–</v>
      </c>
      <c r="M68" s="142"/>
      <c r="N68" s="151">
        <f>IF(ISERROR(N63/N60),"–",IF(ABS(N63/N60*100)&gt;NM,"–",N63/N60*100))</f>
        <v>36.382464618570935</v>
      </c>
      <c r="O68" s="151" t="str">
        <f>IF(ISERROR(O63/O60),"–",IF(ABS(O63/O60*100)&gt;NM,"–",O63/O60*100))</f>
        <v>–</v>
      </c>
      <c r="P68" s="151" t="str">
        <f>IF(ISERROR(P63/P60),"–",IF(ABS(P63/P60*100)&gt;NM,"–",P63/P60*100))</f>
        <v>–</v>
      </c>
      <c r="Q68" s="151" t="str">
        <f>IF(ISERROR(Q63/Q60),"–",IF(ABS(Q63/Q60*100)&gt;NM,"–",Q63/Q60*100))</f>
        <v>–</v>
      </c>
      <c r="R68" s="33"/>
      <c r="S68" s="45"/>
      <c r="T68" s="33"/>
      <c r="U68" s="4"/>
      <c r="V68" s="33"/>
      <c r="W68" s="12"/>
      <c r="X68" s="58"/>
      <c r="Y68" s="58"/>
      <c r="Z68" s="58"/>
      <c r="AA68" s="263"/>
      <c r="AB68" s="47"/>
    </row>
    <row r="69" spans="1:28" ht="13.5" customHeight="1">
      <c r="A69" s="1"/>
      <c r="B69" s="270"/>
      <c r="C69" s="4" t="str">
        <f>"SUBPC – Income statement – "&amp;D69</f>
        <v>SUBPC – Income statement – Cost / income ratio (%)</v>
      </c>
      <c r="D69" s="77" t="s">
        <v>11</v>
      </c>
      <c r="E69" s="85"/>
      <c r="F69" s="31"/>
      <c r="G69" s="151">
        <f>IF(ISERROR(G64/G60),"–",IF(ABS(G64/G60*100)&gt;NM,"–",G64/G60*100))</f>
        <v>75.66807313642757</v>
      </c>
      <c r="H69" s="151">
        <f>IF(ISERROR(H64/H60),"–",IF(ABS(H64/H60*100)&gt;NM,"–",H64/H60*100))</f>
        <v>68.21282401091405</v>
      </c>
      <c r="I69" s="151">
        <f>IF(ISERROR(I64/I60),"–",IF(ABS(I64/I60*100)&gt;NM,"–",I64/I60*100))</f>
        <v>70.42640990371389</v>
      </c>
      <c r="J69" s="151">
        <f>IF(ISERROR(J64/J60),"–",IF(ABS(J64/J60*100)&gt;NM,"–",J64/J60*100))</f>
        <v>69.42148760330579</v>
      </c>
      <c r="K69" s="151">
        <f>IF(ISERROR(K64/K60),"–",IF(ABS(K64/K60*100)&gt;NM,"–",K64/K60*100))</f>
        <v>63.91076115485564</v>
      </c>
      <c r="L69" s="151" t="str">
        <f>IF(ISERROR(L64/L60),"–",IF(ABS(L64/L60*100)&gt;NM,"–",L64/L60*100))</f>
        <v>–</v>
      </c>
      <c r="M69" s="157"/>
      <c r="N69" s="151">
        <f>IF(ISERROR(N64/N60),"–",IF(ABS(N64/N60*100)&gt;NM,"–",N64/N60*100))</f>
        <v>70.90093199861927</v>
      </c>
      <c r="O69" s="151" t="str">
        <f>IF(ISERROR(O64/O60),"–",IF(ABS(O64/O60*100)&gt;NM,"–",O64/O60*100))</f>
        <v>–</v>
      </c>
      <c r="P69" s="151" t="str">
        <f>IF(ISERROR(P64/P60),"–",IF(ABS(P64/P60*100)&gt;NM,"–",P64/P60*100))</f>
        <v>–</v>
      </c>
      <c r="Q69" s="151" t="str">
        <f>IF(ISERROR(Q64/Q60),"–",IF(ABS(Q64/Q60*100)&gt;NM,"–",Q64/Q60*100))</f>
        <v>–</v>
      </c>
      <c r="R69" s="31"/>
      <c r="S69" s="45"/>
      <c r="T69" s="31"/>
      <c r="U69" s="4"/>
      <c r="V69" s="31"/>
      <c r="W69" s="13"/>
      <c r="X69" s="59"/>
      <c r="Y69" s="59"/>
      <c r="Z69" s="59"/>
      <c r="AA69" s="263"/>
      <c r="AB69" s="47"/>
    </row>
    <row r="70" spans="1:28" ht="13.5" customHeight="1">
      <c r="A70" s="1"/>
      <c r="B70" s="271"/>
      <c r="C70" s="4" t="str">
        <f>"SUBPC – Income statement – "&amp;D70</f>
        <v>SUBPC – Income statement – Pre-tax income margin (%)</v>
      </c>
      <c r="D70" s="77" t="s">
        <v>12</v>
      </c>
      <c r="E70" s="85"/>
      <c r="F70" s="31"/>
      <c r="G70" s="151">
        <f>IF(ISERROR(G65/G60),"–",IF(ABS(G65/G60*100)&gt;NM,"–",G65/G60*100))</f>
        <v>22.644163150492265</v>
      </c>
      <c r="H70" s="151">
        <f>IF(ISERROR(H65/H60),"–",IF(ABS(H65/H60*100)&gt;NM,"–",H65/H60*100))</f>
        <v>30.286493860845837</v>
      </c>
      <c r="I70" s="151">
        <f>IF(ISERROR(I65/I60),"–",IF(ABS(I65/I60*100)&gt;NM,"–",I65/I60*100))</f>
        <v>28.335625859697387</v>
      </c>
      <c r="J70" s="151">
        <f>IF(ISERROR(J65/J60),"–",IF(ABS(J65/J60*100)&gt;NM,"–",J65/J60*100))</f>
        <v>29.201101928374655</v>
      </c>
      <c r="K70" s="151">
        <f>IF(ISERROR(K65/K60),"–",IF(ABS(K65/K60*100)&gt;NM,"–",K65/K60*100))</f>
        <v>34.7769028871391</v>
      </c>
      <c r="L70" s="151" t="str">
        <f>IF(ISERROR(L65/L60),"–",IF(ABS(L65/L60*100)&gt;NM,"–",L65/L60*100))</f>
        <v>–</v>
      </c>
      <c r="M70" s="157"/>
      <c r="N70" s="151">
        <f>IF(ISERROR(N65/N60),"–",IF(ABS(N65/N60*100)&gt;NM,"–",N65/N60*100))</f>
        <v>27.64929237141871</v>
      </c>
      <c r="O70" s="151" t="str">
        <f>IF(ISERROR(O65/O60),"–",IF(ABS(O65/O60*100)&gt;NM,"–",O65/O60*100))</f>
        <v>–</v>
      </c>
      <c r="P70" s="151" t="str">
        <f>IF(ISERROR(P65/P60),"–",IF(ABS(P65/P60*100)&gt;NM,"–",P65/P60*100))</f>
        <v>–</v>
      </c>
      <c r="Q70" s="151" t="str">
        <f>IF(ISERROR(Q65/Q60),"–",IF(ABS(Q65/Q60*100)&gt;NM,"–",Q65/Q60*100))</f>
        <v>–</v>
      </c>
      <c r="R70" s="31"/>
      <c r="S70" s="45"/>
      <c r="T70" s="31"/>
      <c r="U70" s="4"/>
      <c r="V70" s="31"/>
      <c r="W70" s="13"/>
      <c r="X70" s="59"/>
      <c r="Y70" s="59"/>
      <c r="Z70" s="59"/>
      <c r="AA70" s="263"/>
      <c r="AB70" s="47"/>
    </row>
    <row r="71" spans="1:28" ht="13.5" customHeight="1">
      <c r="A71" s="1"/>
      <c r="B71" s="270"/>
      <c r="C71" s="6"/>
      <c r="D71" s="7"/>
      <c r="E71" s="7"/>
      <c r="F71" s="33"/>
      <c r="G71" s="8"/>
      <c r="H71" s="8"/>
      <c r="I71" s="8"/>
      <c r="J71" s="8"/>
      <c r="K71" s="8"/>
      <c r="L71" s="8"/>
      <c r="M71" s="142"/>
      <c r="N71" s="8"/>
      <c r="O71" s="8"/>
      <c r="P71" s="8"/>
      <c r="Q71" s="8"/>
      <c r="R71" s="33"/>
      <c r="S71" s="8"/>
      <c r="T71" s="29"/>
      <c r="U71" s="2"/>
      <c r="V71" s="25"/>
      <c r="W71" s="2"/>
      <c r="X71" s="2"/>
      <c r="Y71" s="2"/>
      <c r="Z71" s="2"/>
      <c r="AA71" s="263"/>
      <c r="AB71" s="47"/>
    </row>
    <row r="72" spans="1:28" ht="13.5" customHeight="1">
      <c r="A72" s="1"/>
      <c r="B72" s="271"/>
      <c r="C72" s="2"/>
      <c r="D72" s="2"/>
      <c r="E72" s="2"/>
      <c r="F72" s="25"/>
      <c r="G72" s="137"/>
      <c r="H72" s="137"/>
      <c r="I72" s="137"/>
      <c r="J72" s="137"/>
      <c r="K72" s="137"/>
      <c r="L72" s="136"/>
      <c r="M72" s="159"/>
      <c r="N72" s="137"/>
      <c r="O72" s="136"/>
      <c r="P72" s="136"/>
      <c r="Q72" s="136"/>
      <c r="R72" s="25"/>
      <c r="S72" s="2"/>
      <c r="T72" s="25"/>
      <c r="U72" s="2"/>
      <c r="V72" s="25"/>
      <c r="W72" s="2"/>
      <c r="X72" s="2"/>
      <c r="Y72" s="2"/>
      <c r="Z72" s="2"/>
      <c r="AA72" s="263"/>
      <c r="AB72" s="47"/>
    </row>
    <row r="73" spans="1:28" ht="13.5" customHeight="1">
      <c r="A73" s="1"/>
      <c r="B73" s="270"/>
      <c r="C73" s="3"/>
      <c r="D73" s="3" t="s">
        <v>13</v>
      </c>
      <c r="E73" s="3"/>
      <c r="F73" s="26"/>
      <c r="G73" s="140"/>
      <c r="H73" s="140"/>
      <c r="I73" s="140"/>
      <c r="J73" s="140"/>
      <c r="K73" s="140"/>
      <c r="L73" s="138"/>
      <c r="M73" s="139"/>
      <c r="N73" s="140"/>
      <c r="O73" s="138"/>
      <c r="P73" s="138"/>
      <c r="Q73" s="138"/>
      <c r="R73" s="26"/>
      <c r="S73" s="3"/>
      <c r="T73" s="26"/>
      <c r="U73" s="3"/>
      <c r="V73" s="26"/>
      <c r="W73" s="3"/>
      <c r="X73" s="3"/>
      <c r="Y73" s="3"/>
      <c r="Z73" s="3"/>
      <c r="AA73" s="264"/>
      <c r="AB73" s="47"/>
    </row>
    <row r="74" spans="1:28" ht="13.5" customHeight="1">
      <c r="A74" s="1"/>
      <c r="B74" s="270"/>
      <c r="C74" s="4" t="str">
        <f>"SUBPC – Assets under management – "&amp;D74</f>
        <v>SUBPC – Assets under management – Assets under management (beginning of period)</v>
      </c>
      <c r="D74" s="75" t="s">
        <v>62</v>
      </c>
      <c r="E74" s="83"/>
      <c r="F74" s="26"/>
      <c r="G74" s="278">
        <v>192.2</v>
      </c>
      <c r="H74" s="278">
        <v>198.2</v>
      </c>
      <c r="I74" s="162">
        <v>201.5</v>
      </c>
      <c r="J74" s="162">
        <v>206.1</v>
      </c>
      <c r="K74" s="162">
        <v>208.3</v>
      </c>
      <c r="L74" s="160" t="str">
        <f>IF(OR(L75="–",L75=""),"–",K77)</f>
        <v>–</v>
      </c>
      <c r="M74" s="161"/>
      <c r="N74" s="160">
        <v>192.2</v>
      </c>
      <c r="O74" s="160" t="str">
        <f>IF(OR(O75="–",O75=""),"–",N77)</f>
        <v>–</v>
      </c>
      <c r="P74" s="160" t="str">
        <f>IF(OR(P75="–",P75=""),"–",O77)</f>
        <v>–</v>
      </c>
      <c r="Q74" s="160" t="str">
        <f>IF(OR(Q75="–",Q75=""),"–",P77)</f>
        <v>–</v>
      </c>
      <c r="R74" s="32"/>
      <c r="S74" s="45"/>
      <c r="T74" s="32"/>
      <c r="U74" s="38"/>
      <c r="V74" s="32"/>
      <c r="W74" s="18"/>
      <c r="X74" s="62"/>
      <c r="Y74" s="62"/>
      <c r="Z74" s="62"/>
      <c r="AA74" s="263"/>
      <c r="AB74" s="47"/>
    </row>
    <row r="75" spans="1:28" s="207" customFormat="1" ht="13.5" customHeight="1">
      <c r="A75" s="1"/>
      <c r="B75" s="270"/>
      <c r="C75" s="4" t="str">
        <f>"SUBPC – Assets under management – "&amp;D75</f>
        <v>SUBPC – Assets under management – Net new assets</v>
      </c>
      <c r="D75" s="291" t="s">
        <v>14</v>
      </c>
      <c r="E75" s="292"/>
      <c r="F75" s="30"/>
      <c r="G75" s="279">
        <v>2</v>
      </c>
      <c r="H75" s="279">
        <v>1.7</v>
      </c>
      <c r="I75" s="279">
        <v>1</v>
      </c>
      <c r="J75" s="279">
        <v>0</v>
      </c>
      <c r="K75" s="279">
        <v>2.7</v>
      </c>
      <c r="L75" s="163">
        <f>IF(L$27="No","–",IF(INDEX(CS_CONS_LINK_ARRAY,MATCH($C75,CS_CONS_LINK_COLUMN,0),MATCH(L$1,CS_CONS_LINK_ROW,0))="","",INDEX(CS_CONS_LINK_ARRAY,MATCH($C75,CS_CONS_LINK_COLUMN,0),MATCH(L$1,CS_CONS_LINK_ROW,0))))</f>
      </c>
      <c r="M75" s="156"/>
      <c r="N75" s="164">
        <v>4.7</v>
      </c>
      <c r="O75" s="163">
        <f>IF(O$27="No","–",IF(INDEX(CS_CONS_LINK_ARRAY,MATCH($C75,CS_CONS_LINK_COLUMN,0),MATCH(O$1,CS_CONS_LINK_ROW,0))="","",INDEX(CS_CONS_LINK_ARRAY,MATCH($C75,CS_CONS_LINK_COLUMN,0),MATCH(O$1,CS_CONS_LINK_ROW,0))))</f>
      </c>
      <c r="P75" s="163">
        <f>IF(P$27="No","–",IF(INDEX(CS_CONS_LINK_ARRAY,MATCH($C75,CS_CONS_LINK_COLUMN,0),MATCH(P$1,CS_CONS_LINK_ROW,0))="","",INDEX(CS_CONS_LINK_ARRAY,MATCH($C75,CS_CONS_LINK_COLUMN,0),MATCH(P$1,CS_CONS_LINK_ROW,0))))</f>
      </c>
      <c r="Q75" s="163">
        <f>IF(Q$27="No","–",IF(INDEX(CS_CONS_LINK_ARRAY,MATCH($C75,CS_CONS_LINK_COLUMN,0),MATCH(Q$1,CS_CONS_LINK_ROW,0))="","",INDEX(CS_CONS_LINK_ARRAY,MATCH($C75,CS_CONS_LINK_COLUMN,0),MATCH(Q$1,CS_CONS_LINK_ROW,0))))</f>
      </c>
      <c r="R75" s="30"/>
      <c r="S75" s="45"/>
      <c r="T75" s="30"/>
      <c r="U75" s="237" t="s">
        <v>26</v>
      </c>
      <c r="V75" s="28"/>
      <c r="W75" s="238">
        <f>IF(L75="–",0,IF($U75="Positive Number",IF(OR(L75&lt;0,ISTEXT(L75),ISERROR(L75)),1,0),IF(OR(ISTEXT(L75),ISERROR(L75)),1,0)))</f>
        <v>1</v>
      </c>
      <c r="X75" s="239">
        <f>IF(O75="–",0,IF($U75="Positive Number",IF(OR(O75&lt;0,ISTEXT(O75),ISERROR(O75)),1,0),IF(OR(ISTEXT(O75),ISERROR(O75)),1,0)))</f>
        <v>1</v>
      </c>
      <c r="Y75" s="239">
        <f>IF(P75="–",0,IF($U75="Positive Number",IF(OR(P75&lt;0,ISTEXT(P75),ISERROR(P75)),1,0),IF(OR(ISTEXT(P75),ISERROR(P75)),1,0)))</f>
        <v>1</v>
      </c>
      <c r="Z75" s="239">
        <f>IF(Q75="–",0,IF($U75="Positive Number",IF(OR(Q75&lt;0,ISTEXT(Q75),ISERROR(Q75)),1,0),IF(OR(ISTEXT(Q75),ISERROR(Q75)),1,0)))</f>
        <v>1</v>
      </c>
      <c r="AA75" s="263"/>
      <c r="AB75" s="47"/>
    </row>
    <row r="76" spans="1:28" s="207" customFormat="1" ht="13.5" customHeight="1">
      <c r="A76" s="1"/>
      <c r="B76" s="270"/>
      <c r="C76" s="4" t="str">
        <f>"SUBPC – Assets under management – "&amp;D76</f>
        <v>SUBPC – Assets under management – Performance / other</v>
      </c>
      <c r="D76" s="78" t="s">
        <v>15</v>
      </c>
      <c r="E76" s="86"/>
      <c r="F76" s="30"/>
      <c r="G76" s="164">
        <f>IF(ISERROR(G77-G74-G75),"–",G77-G74-G75)</f>
        <v>4</v>
      </c>
      <c r="H76" s="164">
        <f>IF(ISERROR(H77-H74-H75),"–",H77-H74-H75)</f>
        <v>1.6000000000000114</v>
      </c>
      <c r="I76" s="164">
        <f>IF(ISERROR(I77-I74-I75),"–",I77-I74-I75)</f>
        <v>3.5999999999999943</v>
      </c>
      <c r="J76" s="164">
        <f>IF(ISERROR(J77-J74-J75),"–",J77-J74-J75)</f>
        <v>2.200000000000017</v>
      </c>
      <c r="K76" s="164">
        <f>IF(ISERROR(K77-K74-K75),"–",K77-K74-K75)</f>
        <v>-4.300000000000023</v>
      </c>
      <c r="L76" s="164" t="str">
        <f>IF(ISERROR(L77-L74-L75),"–",L77-L74-L75)</f>
        <v>–</v>
      </c>
      <c r="M76" s="156"/>
      <c r="N76" s="164">
        <f>IF(ISERROR(N77-N74-N75),"–",N77-N74-N75)</f>
        <v>11.400000000000023</v>
      </c>
      <c r="O76" s="164" t="str">
        <f>IF(ISERROR(O77-O74-O75),"–",O77-O74-O75)</f>
        <v>–</v>
      </c>
      <c r="P76" s="164" t="str">
        <f>IF(ISERROR(P77-P74-P75),"–",P77-P74-P75)</f>
        <v>–</v>
      </c>
      <c r="Q76" s="164" t="str">
        <f>IF(ISERROR(Q77-Q74-Q75),"–",Q77-Q74-Q75)</f>
        <v>–</v>
      </c>
      <c r="R76" s="30"/>
      <c r="S76" s="45"/>
      <c r="T76" s="30"/>
      <c r="U76" s="237"/>
      <c r="V76" s="30"/>
      <c r="W76" s="16"/>
      <c r="X76" s="61"/>
      <c r="Y76" s="61"/>
      <c r="Z76" s="61"/>
      <c r="AA76" s="263"/>
      <c r="AB76" s="47"/>
    </row>
    <row r="77" spans="1:28" ht="13.5" customHeight="1">
      <c r="A77" s="1"/>
      <c r="B77" s="270"/>
      <c r="C77" s="4" t="str">
        <f>"SUBPC – Assets under management – "&amp;D77</f>
        <v>SUBPC – Assets under management – Assets under management (end of period)</v>
      </c>
      <c r="D77" s="293" t="s">
        <v>63</v>
      </c>
      <c r="E77" s="294"/>
      <c r="F77" s="32"/>
      <c r="G77" s="162">
        <v>198.2</v>
      </c>
      <c r="H77" s="162">
        <v>201.5</v>
      </c>
      <c r="I77" s="162">
        <v>206.1</v>
      </c>
      <c r="J77" s="162">
        <v>208.3</v>
      </c>
      <c r="K77" s="162">
        <v>206.7</v>
      </c>
      <c r="L77" s="165">
        <f>IF(L$27="No","–",IF(INDEX(CS_CONS_LINK_ARRAY,MATCH($C77,CS_CONS_LINK_COLUMN,0),MATCH(L$1,CS_CONS_LINK_ROW,0))="","",INDEX(CS_CONS_LINK_ARRAY,MATCH($C77,CS_CONS_LINK_COLUMN,0),MATCH(L$1,CS_CONS_LINK_ROW,0))))</f>
      </c>
      <c r="M77" s="161"/>
      <c r="N77" s="162">
        <v>208.3</v>
      </c>
      <c r="O77" s="165">
        <f>IF(O$27="No","–",IF(INDEX(CS_CONS_LINK_ARRAY,MATCH($C77,CS_CONS_LINK_COLUMN,0),MATCH(O$1,CS_CONS_LINK_ROW,0))="","",INDEX(CS_CONS_LINK_ARRAY,MATCH($C77,CS_CONS_LINK_COLUMN,0),MATCH(O$1,CS_CONS_LINK_ROW,0))))</f>
      </c>
      <c r="P77" s="165">
        <f>IF(P$27="No","–",IF(INDEX(CS_CONS_LINK_ARRAY,MATCH($C77,CS_CONS_LINK_COLUMN,0),MATCH(P$1,CS_CONS_LINK_ROW,0))="","",INDEX(CS_CONS_LINK_ARRAY,MATCH($C77,CS_CONS_LINK_COLUMN,0),MATCH(P$1,CS_CONS_LINK_ROW,0))))</f>
      </c>
      <c r="Q77" s="165">
        <f>IF(Q$27="No","–",IF(INDEX(CS_CONS_LINK_ARRAY,MATCH($C77,CS_CONS_LINK_COLUMN,0),MATCH(Q$1,CS_CONS_LINK_ROW,0))="","",INDEX(CS_CONS_LINK_ARRAY,MATCH($C77,CS_CONS_LINK_COLUMN,0),MATCH(Q$1,CS_CONS_LINK_ROW,0))))</f>
      </c>
      <c r="R77" s="32"/>
      <c r="S77" s="202"/>
      <c r="T77" s="32"/>
      <c r="U77" s="38" t="s">
        <v>25</v>
      </c>
      <c r="V77" s="32"/>
      <c r="W77" s="37">
        <f>IF(L77="–",0,IF($U77="Positive Number",IF(OR(L77&lt;0,ISTEXT(L77),ISERROR(L77)),1,0),IF(OR(ISTEXT(L77),ISERROR(L77)),1,0)))</f>
        <v>1</v>
      </c>
      <c r="X77" s="57">
        <f>IF(O77="–",0,IF($U77="Positive Number",IF(OR(O77&lt;0,ISTEXT(O77),ISERROR(O77)),1,0),IF(OR(ISTEXT(O77),ISERROR(O77)),1,0)))</f>
        <v>1</v>
      </c>
      <c r="Y77" s="57">
        <f>IF(P77="–",0,IF($U77="Positive Number",IF(OR(P77&lt;0,ISTEXT(P77),ISERROR(P77)),1,0),IF(OR(ISTEXT(P77),ISERROR(P77)),1,0)))</f>
        <v>1</v>
      </c>
      <c r="Z77" s="57">
        <f>IF(Q77="–",0,IF($U77="Positive Number",IF(OR(Q77&lt;0,ISTEXT(Q77),ISERROR(Q77)),1,0),IF(OR(ISTEXT(Q77),ISERROR(Q77)),1,0)))</f>
        <v>1</v>
      </c>
      <c r="AA77" s="263"/>
      <c r="AB77" s="47"/>
    </row>
    <row r="78" spans="1:28" ht="13.5" customHeight="1" hidden="1">
      <c r="A78" s="1"/>
      <c r="B78" s="270"/>
      <c r="C78" s="4" t="str">
        <f>"SUBPC – Assets under management – "&amp;D78</f>
        <v>SUBPC – Assets under management – Average assets under management</v>
      </c>
      <c r="D78" s="82" t="s">
        <v>16</v>
      </c>
      <c r="E78" s="91"/>
      <c r="F78" s="30"/>
      <c r="G78" s="205">
        <f>IF(ISERROR(G74+G77),"–",(G74+G77)/2)</f>
        <v>195.2</v>
      </c>
      <c r="H78" s="205">
        <f>IF(ISERROR(H74+H77),"–",(H74+H77)/2)</f>
        <v>199.85</v>
      </c>
      <c r="I78" s="205">
        <f>IF(ISERROR(I74+I77),"–",(I74+I77)/2)</f>
        <v>203.8</v>
      </c>
      <c r="J78" s="205">
        <f>IF(ISERROR(J74+J77),"–",(J74+J77)/2)</f>
        <v>207.2</v>
      </c>
      <c r="K78" s="205">
        <f>IF(ISERROR(K74+K77),"–",(K74+K77)/2)</f>
        <v>207.5</v>
      </c>
      <c r="L78" s="205" t="str">
        <f>IF(ISERROR(L74+L77),"–",(L74+L77)/2)</f>
        <v>–</v>
      </c>
      <c r="M78" s="156"/>
      <c r="N78" s="205">
        <f>IF(ISERROR(N74+N77),"–",(N74+N77)/2)</f>
        <v>200.25</v>
      </c>
      <c r="O78" s="205" t="str">
        <f>IF(ISERROR(O74+O77),"–",(O74+O77)/2)</f>
        <v>–</v>
      </c>
      <c r="P78" s="205" t="str">
        <f>IF(ISERROR(P74+P77),"–",(P74+P77)/2)</f>
        <v>–</v>
      </c>
      <c r="Q78" s="205" t="str">
        <f>IF(ISERROR(Q74+Q77),"–",(Q74+Q77)/2)</f>
        <v>–</v>
      </c>
      <c r="R78" s="31"/>
      <c r="S78" s="45"/>
      <c r="T78" s="31"/>
      <c r="U78" s="38"/>
      <c r="V78" s="31"/>
      <c r="W78" s="18"/>
      <c r="X78" s="62"/>
      <c r="Y78" s="62"/>
      <c r="Z78" s="62"/>
      <c r="AA78" s="263"/>
      <c r="AB78" s="47"/>
    </row>
    <row r="79" spans="1:28" ht="13.5" customHeight="1">
      <c r="A79" s="1"/>
      <c r="B79" s="270"/>
      <c r="C79" s="6"/>
      <c r="D79" s="7"/>
      <c r="E79" s="35"/>
      <c r="F79" s="29"/>
      <c r="G79" s="155"/>
      <c r="H79" s="155"/>
      <c r="I79" s="155"/>
      <c r="J79" s="155"/>
      <c r="K79" s="155"/>
      <c r="L79" s="155"/>
      <c r="M79" s="154"/>
      <c r="N79" s="149"/>
      <c r="O79" s="149"/>
      <c r="P79" s="149"/>
      <c r="Q79" s="149"/>
      <c r="R79" s="29"/>
      <c r="S79" s="8"/>
      <c r="T79" s="29"/>
      <c r="U79" s="6"/>
      <c r="V79" s="29"/>
      <c r="W79" s="34"/>
      <c r="X79" s="8"/>
      <c r="Y79" s="8"/>
      <c r="Z79" s="8"/>
      <c r="AA79" s="263"/>
      <c r="AB79" s="47"/>
    </row>
    <row r="80" spans="1:28" s="207" customFormat="1" ht="13.5" customHeight="1">
      <c r="A80" s="1"/>
      <c r="B80" s="270"/>
      <c r="C80" s="4" t="str">
        <f>"SUBPC – Assets under management – "&amp;D80</f>
        <v>SUBPC – Assets under management – Net new asset growth (%)</v>
      </c>
      <c r="D80" s="79" t="s">
        <v>17</v>
      </c>
      <c r="E80" s="87"/>
      <c r="F80" s="30"/>
      <c r="G80" s="150">
        <f>IF(ISERROR(G75/G74),"–",G75/G74*100*(4/1))</f>
        <v>4.162330905306972</v>
      </c>
      <c r="H80" s="150">
        <f>IF(ISERROR(H75/H74),"–",H75/H74*100*(4/1))</f>
        <v>3.4308779011099904</v>
      </c>
      <c r="I80" s="150">
        <f>IF(ISERROR(I75/I74),"–",I75/I74*100*(4/1))</f>
        <v>1.9851116625310175</v>
      </c>
      <c r="J80" s="150">
        <f>IF(ISERROR(J75/J74),"–",J75/J74*100*(4/1))</f>
        <v>0</v>
      </c>
      <c r="K80" s="150">
        <f>IF(ISERROR(K75/K74),"–",K75/K74*100*(4/1))</f>
        <v>5.184829572731637</v>
      </c>
      <c r="L80" s="150" t="str">
        <f>IF(ISERROR(L75/L74),"–",L75/L74*100)</f>
        <v>–</v>
      </c>
      <c r="M80" s="156"/>
      <c r="N80" s="206">
        <f>IF(ISERROR(N75/N74),"–",N75/N74*100)</f>
        <v>2.4453694068678464</v>
      </c>
      <c r="O80" s="150" t="str">
        <f>IF(ISERROR(O75/O74),"–",O75/O74*100)</f>
        <v>–</v>
      </c>
      <c r="P80" s="150" t="str">
        <f>IF(ISERROR(P75/P74),"–",P75/P74*100)</f>
        <v>–</v>
      </c>
      <c r="Q80" s="150" t="str">
        <f>IF(ISERROR(Q75/Q74),"–",Q75/Q74*100)</f>
        <v>–</v>
      </c>
      <c r="R80" s="30"/>
      <c r="S80" s="45"/>
      <c r="T80" s="30"/>
      <c r="U80" s="4"/>
      <c r="V80" s="30"/>
      <c r="W80" s="12"/>
      <c r="X80" s="58"/>
      <c r="Y80" s="58"/>
      <c r="Z80" s="58"/>
      <c r="AA80" s="263"/>
      <c r="AB80" s="47"/>
    </row>
    <row r="81" spans="1:28" s="207" customFormat="1" ht="13.5" customHeight="1">
      <c r="A81" s="1"/>
      <c r="B81" s="270"/>
      <c r="C81" s="4" t="str">
        <f>"SUBPC – Assets under management – "&amp;D81</f>
        <v>SUBPC – Assets under management – Performance / other growth (%)</v>
      </c>
      <c r="D81" s="79" t="s">
        <v>18</v>
      </c>
      <c r="E81" s="87"/>
      <c r="F81" s="30"/>
      <c r="G81" s="150">
        <f>IF(ISERROR(G76/G74),"–",G76/G74*100*(4/1))</f>
        <v>8.324661810613945</v>
      </c>
      <c r="H81" s="150">
        <f>IF(ISERROR(H76/H74),"–",H76/H74*100*(4/1))</f>
        <v>3.229061553985896</v>
      </c>
      <c r="I81" s="150">
        <f>IF(ISERROR(I76/I74),"–",I76/I74*100*(4/1))</f>
        <v>7.146401985111652</v>
      </c>
      <c r="J81" s="150">
        <f>IF(ISERROR(J76/J74),"–",J76/J74*100*(4/1))</f>
        <v>4.269771955361508</v>
      </c>
      <c r="K81" s="150">
        <f>IF(ISERROR(K76/K74),"–",K76/K74*100*(4/1))</f>
        <v>-8.257321171387467</v>
      </c>
      <c r="L81" s="150" t="str">
        <f>IF(ISERROR(L76/L74),"–",L76/L74*100)</f>
        <v>–</v>
      </c>
      <c r="M81" s="156"/>
      <c r="N81" s="206">
        <f>IF(ISERROR(N76/N74),"–",N76/N74*100)</f>
        <v>5.931321540062448</v>
      </c>
      <c r="O81" s="150" t="str">
        <f>IF(ISERROR(O76/O74),"–",O76/O74*100)</f>
        <v>–</v>
      </c>
      <c r="P81" s="150" t="str">
        <f>IF(ISERROR(P76/P74),"–",P76/P74*100)</f>
        <v>–</v>
      </c>
      <c r="Q81" s="150" t="str">
        <f>IF(ISERROR(Q76/Q74),"–",Q76/Q74*100)</f>
        <v>–</v>
      </c>
      <c r="R81" s="30"/>
      <c r="S81" s="45"/>
      <c r="T81" s="30"/>
      <c r="U81" s="4"/>
      <c r="V81" s="30"/>
      <c r="W81" s="12"/>
      <c r="X81" s="58"/>
      <c r="Y81" s="58"/>
      <c r="Z81" s="58"/>
      <c r="AA81" s="263"/>
      <c r="AB81" s="47"/>
    </row>
    <row r="82" spans="1:28" ht="13.5" customHeight="1">
      <c r="A82" s="10"/>
      <c r="B82" s="270"/>
      <c r="C82" s="4" t="str">
        <f>"SUBPC – Assets under management – "&amp;D82</f>
        <v>SUBPC – Assets under management – Total asset growth (%)</v>
      </c>
      <c r="D82" s="80" t="s">
        <v>20</v>
      </c>
      <c r="E82" s="88"/>
      <c r="F82" s="32"/>
      <c r="G82" s="151">
        <f>IF(ISERROR(G80+G81),"–",G80+G81)</f>
        <v>12.486992715920916</v>
      </c>
      <c r="H82" s="151">
        <f>IF(ISERROR(H80+H81),"–",H80+H81)</f>
        <v>6.659939455095886</v>
      </c>
      <c r="I82" s="151">
        <f>IF(ISERROR(I80+I81),"–",I80+I81)</f>
        <v>9.13151364764267</v>
      </c>
      <c r="J82" s="151">
        <f>IF(ISERROR(J80+J81),"–",J80+J81)</f>
        <v>4.269771955361508</v>
      </c>
      <c r="K82" s="151">
        <f>IF(ISERROR(K80+K81),"–",K80+K81)</f>
        <v>-3.07249159865583</v>
      </c>
      <c r="L82" s="151" t="str">
        <f>IF(ISERROR(L80+L81),"–",L80+L81)</f>
        <v>–</v>
      </c>
      <c r="M82" s="157"/>
      <c r="N82" s="158">
        <f>IF(ISERROR(N80+N81),"–",N80+N81)</f>
        <v>8.376690946930294</v>
      </c>
      <c r="O82" s="151" t="str">
        <f>IF(ISERROR(O80+O81),"–",O80+O81)</f>
        <v>–</v>
      </c>
      <c r="P82" s="151" t="str">
        <f>IF(ISERROR(P80+P81),"–",P80+P81)</f>
        <v>–</v>
      </c>
      <c r="Q82" s="151" t="str">
        <f>IF(ISERROR(Q80+Q81),"–",Q80+Q81)</f>
        <v>–</v>
      </c>
      <c r="R82" s="31"/>
      <c r="S82" s="45"/>
      <c r="T82" s="31"/>
      <c r="U82" s="4"/>
      <c r="V82" s="31"/>
      <c r="W82" s="13"/>
      <c r="X82" s="59"/>
      <c r="Y82" s="59"/>
      <c r="Z82" s="59"/>
      <c r="AA82" s="263"/>
      <c r="AB82" s="64"/>
    </row>
    <row r="83" spans="1:28" ht="13.5" customHeight="1">
      <c r="A83" s="1"/>
      <c r="B83" s="270"/>
      <c r="C83" s="6"/>
      <c r="D83" s="7"/>
      <c r="E83" s="35"/>
      <c r="F83" s="30"/>
      <c r="G83" s="155"/>
      <c r="H83" s="155"/>
      <c r="I83" s="155"/>
      <c r="J83" s="155"/>
      <c r="K83" s="155"/>
      <c r="L83" s="155"/>
      <c r="M83" s="154"/>
      <c r="N83" s="155"/>
      <c r="O83" s="155"/>
      <c r="P83" s="155"/>
      <c r="Q83" s="155"/>
      <c r="R83" s="29"/>
      <c r="S83" s="8"/>
      <c r="T83" s="29"/>
      <c r="U83" s="6"/>
      <c r="V83" s="29"/>
      <c r="W83" s="34"/>
      <c r="X83" s="8"/>
      <c r="Y83" s="8"/>
      <c r="Z83" s="8"/>
      <c r="AA83" s="263"/>
      <c r="AB83" s="47"/>
    </row>
    <row r="84" spans="1:28" ht="13.5" customHeight="1">
      <c r="A84" s="10"/>
      <c r="B84" s="270"/>
      <c r="C84" s="4" t="str">
        <f>"SUBPC – Assets under management – "&amp;D84</f>
        <v>SUBPC – Assets under management – Gross margin (bp)</v>
      </c>
      <c r="D84" s="77" t="s">
        <v>19</v>
      </c>
      <c r="E84" s="85"/>
      <c r="F84" s="29"/>
      <c r="G84" s="146">
        <f>IF(ISERROR(G60/G78*40),"–",G60/G78*40)</f>
        <v>145.69672131147541</v>
      </c>
      <c r="H84" s="146">
        <f>IF(ISERROR(H60/H78*40),"–",H60/H78*40)</f>
        <v>146.7100325243933</v>
      </c>
      <c r="I84" s="146">
        <f>IF(ISERROR(I60/I78*40),"–",I60/I78*40)</f>
        <v>142.68891069676152</v>
      </c>
      <c r="J84" s="146">
        <f>IF(ISERROR(J60/J78*40),"–",J60/J78*40)</f>
        <v>140.15444015444015</v>
      </c>
      <c r="K84" s="146">
        <f>IF(ISERROR(K60/K78*40),"–",K60/K78*40)</f>
        <v>146.89156626506025</v>
      </c>
      <c r="L84" s="146" t="str">
        <f>IF(ISERROR(L60/L78*40),"–",L60/L78*40)</f>
        <v>–</v>
      </c>
      <c r="M84" s="154"/>
      <c r="N84" s="146">
        <f>IF(ISERROR(N60/N78*10),"–",N60/N78*10)</f>
        <v>144.66916354556804</v>
      </c>
      <c r="O84" s="146" t="str">
        <f>IF(ISERROR(O60/O78*10),"–",O60/O78*10)</f>
        <v>–</v>
      </c>
      <c r="P84" s="146" t="str">
        <f>IF(ISERROR(P60/P78*10),"–",P60/P78*10)</f>
        <v>–</v>
      </c>
      <c r="Q84" s="146" t="str">
        <f>IF(ISERROR(Q60/Q78*10),"–",Q60/Q78*10)</f>
        <v>–</v>
      </c>
      <c r="R84" s="31"/>
      <c r="S84" s="204"/>
      <c r="T84" s="31"/>
      <c r="U84" s="38"/>
      <c r="V84" s="32"/>
      <c r="W84" s="13"/>
      <c r="X84" s="59"/>
      <c r="Y84" s="59"/>
      <c r="Z84" s="59"/>
      <c r="AA84" s="263"/>
      <c r="AB84" s="64"/>
    </row>
    <row r="85" spans="1:28" ht="13.5" customHeight="1">
      <c r="A85" s="10"/>
      <c r="B85" s="270"/>
      <c r="C85" s="4" t="str">
        <f>"SUBPC – Assets under management – "&amp;D85</f>
        <v>SUBPC – Assets under management – Net margin (bp)</v>
      </c>
      <c r="D85" s="77" t="s">
        <v>98</v>
      </c>
      <c r="E85" s="85"/>
      <c r="F85" s="29"/>
      <c r="G85" s="146">
        <f>IF(ISERROR(G65/G78*40),"–",G65/G78*40)</f>
        <v>32.99180327868853</v>
      </c>
      <c r="H85" s="146">
        <f>IF(ISERROR(H65/H78*40),"–",H65/H78*40)</f>
        <v>44.43332499374531</v>
      </c>
      <c r="I85" s="146">
        <f>IF(ISERROR(I65/I78*40),"–",I65/I78*40)</f>
        <v>40.43179587831207</v>
      </c>
      <c r="J85" s="146">
        <f>IF(ISERROR(J65/J78*40),"–",J65/J78*40)</f>
        <v>40.92664092664093</v>
      </c>
      <c r="K85" s="146">
        <f>IF(ISERROR(K65/K78*40),"–",K65/K78*40)</f>
        <v>51.084337349397586</v>
      </c>
      <c r="L85" s="146" t="str">
        <f>IF(ISERROR(L65/L78*40),"–",L65/L78*40)</f>
        <v>–</v>
      </c>
      <c r="M85" s="154"/>
      <c r="N85" s="146">
        <f>IF(ISERROR(N65/N78*10),"–",N65/N78*10)</f>
        <v>40</v>
      </c>
      <c r="O85" s="146" t="str">
        <f>IF(ISERROR(O65/O78*10),"–",O65/O78*10)</f>
        <v>–</v>
      </c>
      <c r="P85" s="146" t="str">
        <f>IF(ISERROR(P65/P78*10),"–",P65/P78*10)</f>
        <v>–</v>
      </c>
      <c r="Q85" s="146" t="str">
        <f>IF(ISERROR(Q65/Q78*10),"–",Q65/Q78*10)</f>
        <v>–</v>
      </c>
      <c r="R85" s="31"/>
      <c r="S85" s="204"/>
      <c r="T85" s="31"/>
      <c r="U85" s="38"/>
      <c r="V85" s="32"/>
      <c r="W85" s="13"/>
      <c r="X85" s="59"/>
      <c r="Y85" s="59"/>
      <c r="Z85" s="59"/>
      <c r="AA85" s="263"/>
      <c r="AB85" s="64"/>
    </row>
    <row r="86" spans="1:28" ht="13.5" customHeight="1">
      <c r="A86" s="1"/>
      <c r="B86" s="301"/>
      <c r="C86" s="302"/>
      <c r="D86" s="427"/>
      <c r="E86" s="427"/>
      <c r="F86" s="428"/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8"/>
      <c r="S86" s="428"/>
      <c r="T86" s="428"/>
      <c r="U86" s="326"/>
      <c r="V86" s="327"/>
      <c r="W86" s="327"/>
      <c r="X86" s="327"/>
      <c r="Y86" s="327"/>
      <c r="Z86" s="327"/>
      <c r="AA86" s="270"/>
      <c r="AB86" s="47"/>
    </row>
    <row r="87" spans="1:28" ht="27" customHeight="1">
      <c r="A87" s="1"/>
      <c r="B87" s="301"/>
      <c r="C87" s="330"/>
      <c r="D87" s="331" t="s">
        <v>265</v>
      </c>
      <c r="E87" s="331"/>
      <c r="F87" s="269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269"/>
      <c r="S87" s="269"/>
      <c r="T87" s="269"/>
      <c r="U87" s="426"/>
      <c r="V87" s="100"/>
      <c r="W87" s="100"/>
      <c r="X87" s="100"/>
      <c r="Y87" s="100"/>
      <c r="Z87" s="100"/>
      <c r="AA87" s="270"/>
      <c r="AB87" s="47"/>
    </row>
    <row r="88" spans="1:28" ht="13.5" customHeight="1">
      <c r="A88" s="1"/>
      <c r="B88" s="263"/>
      <c r="C88" s="2"/>
      <c r="D88" s="2"/>
      <c r="E88" s="2"/>
      <c r="F88" s="2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2"/>
      <c r="S88" s="2"/>
      <c r="T88" s="2"/>
      <c r="U88" s="2"/>
      <c r="V88" s="2"/>
      <c r="W88" s="2"/>
      <c r="X88" s="2"/>
      <c r="Y88" s="2"/>
      <c r="Z88" s="2"/>
      <c r="AA88" s="263"/>
      <c r="AB88" s="47"/>
    </row>
    <row r="89" spans="1:28" ht="13.5" customHeight="1">
      <c r="A89" s="1"/>
      <c r="B89" s="270"/>
      <c r="C89" s="3"/>
      <c r="D89" s="3" t="s">
        <v>0</v>
      </c>
      <c r="E89" s="26"/>
      <c r="F89" s="26"/>
      <c r="G89" s="138"/>
      <c r="H89" s="138"/>
      <c r="I89" s="138"/>
      <c r="J89" s="138"/>
      <c r="K89" s="138"/>
      <c r="L89" s="138"/>
      <c r="M89" s="139"/>
      <c r="N89" s="138"/>
      <c r="O89" s="138"/>
      <c r="P89" s="138"/>
      <c r="Q89" s="138"/>
      <c r="R89" s="26"/>
      <c r="S89" s="3"/>
      <c r="T89" s="26"/>
      <c r="U89" s="3"/>
      <c r="V89" s="26"/>
      <c r="W89" s="3"/>
      <c r="X89" s="3"/>
      <c r="Y89" s="3"/>
      <c r="Z89" s="3"/>
      <c r="AA89" s="263"/>
      <c r="AB89" s="47"/>
    </row>
    <row r="90" spans="1:28" ht="13.5" customHeight="1">
      <c r="A90" s="1"/>
      <c r="B90" s="270"/>
      <c r="C90" s="4" t="str">
        <f aca="true" t="shared" si="16" ref="C90:C99">"SUBCIC – Income statement – "&amp;D90</f>
        <v>SUBCIC – Income statement – Net interest income</v>
      </c>
      <c r="D90" s="218" t="s">
        <v>194</v>
      </c>
      <c r="E90" s="290"/>
      <c r="F90" s="33"/>
      <c r="G90" s="170">
        <v>313</v>
      </c>
      <c r="H90" s="170">
        <v>309</v>
      </c>
      <c r="I90" s="170">
        <v>303</v>
      </c>
      <c r="J90" s="170">
        <v>301</v>
      </c>
      <c r="K90" s="170">
        <v>303</v>
      </c>
      <c r="L90" s="141">
        <f aca="true" t="shared" si="17" ref="L90:L95">IF(L$27="No","–",IF(INDEX(CS_CONS_LINK_ARRAY,MATCH($C90,CS_CONS_LINK_COLUMN,0),MATCH(L$1,CS_CONS_LINK_ROW,0))="","",INDEX(CS_CONS_LINK_ARRAY,MATCH($C90,CS_CONS_LINK_COLUMN,0),MATCH(L$1,CS_CONS_LINK_ROW,0))))</f>
      </c>
      <c r="M90" s="142"/>
      <c r="N90" s="170">
        <v>1226</v>
      </c>
      <c r="O90" s="141">
        <f aca="true" t="shared" si="18" ref="O90:Q93">IF(O$27="No","–",IF(INDEX(CS_CONS_LINK_ARRAY,MATCH($C90,CS_CONS_LINK_COLUMN,0),MATCH(O$1,CS_CONS_LINK_ROW,0))="","",INDEX(CS_CONS_LINK_ARRAY,MATCH($C90,CS_CONS_LINK_COLUMN,0),MATCH(O$1,CS_CONS_LINK_ROW,0))))</f>
      </c>
      <c r="P90" s="141">
        <f t="shared" si="18"/>
      </c>
      <c r="Q90" s="141">
        <f t="shared" si="18"/>
      </c>
      <c r="R90" s="33"/>
      <c r="S90" s="45"/>
      <c r="T90" s="33"/>
      <c r="U90" s="38" t="s">
        <v>26</v>
      </c>
      <c r="V90" s="33"/>
      <c r="W90" s="37">
        <f aca="true" t="shared" si="19" ref="W90:W98">IF(L90="–",0,IF($U90="Positive Number",IF(OR(L90&lt;0,ISTEXT(L90),ISERROR(L90)),1,0),IF(OR(ISTEXT(L90),ISERROR(L90)),1,0)))</f>
        <v>1</v>
      </c>
      <c r="X90" s="57">
        <f>IF(O90="–",0,IF($U90="Positive Number",IF(OR(O90&lt;0,ISTEXT(O90),ISERROR(O90)),1,0),IF(OR(ISTEXT(O90),ISERROR(O90)),1,0)))</f>
        <v>1</v>
      </c>
      <c r="Y90" s="57">
        <f>IF(P90="–",0,IF($U90="Positive Number",IF(OR(P90&lt;0,ISTEXT(P90),ISERROR(P90)),1,0),IF(OR(ISTEXT(P90),ISERROR(P90)),1,0)))</f>
        <v>1</v>
      </c>
      <c r="Z90" s="57">
        <f>IF(Q90="–",0,IF($U90="Positive Number",IF(OR(Q90&lt;0,ISTEXT(Q90),ISERROR(Q90)),1,0),IF(OR(ISTEXT(Q90),ISERROR(Q90)),1,0)))</f>
        <v>1</v>
      </c>
      <c r="AA90" s="264"/>
      <c r="AB90" s="47"/>
    </row>
    <row r="91" spans="1:28" ht="13.5" customHeight="1">
      <c r="A91" s="1"/>
      <c r="B91" s="270"/>
      <c r="C91" s="4" t="str">
        <f t="shared" si="16"/>
        <v>SUBCIC – Income statement – Recurring commissions and fees</v>
      </c>
      <c r="D91" s="218" t="s">
        <v>140</v>
      </c>
      <c r="E91" s="290"/>
      <c r="F91" s="33"/>
      <c r="G91" s="170">
        <v>165</v>
      </c>
      <c r="H91" s="170">
        <v>161</v>
      </c>
      <c r="I91" s="170">
        <v>149</v>
      </c>
      <c r="J91" s="170">
        <v>159</v>
      </c>
      <c r="K91" s="170">
        <v>174</v>
      </c>
      <c r="L91" s="141">
        <f t="shared" si="17"/>
      </c>
      <c r="M91" s="142"/>
      <c r="N91" s="170">
        <v>634</v>
      </c>
      <c r="O91" s="141">
        <f t="shared" si="18"/>
      </c>
      <c r="P91" s="141">
        <f t="shared" si="18"/>
      </c>
      <c r="Q91" s="141">
        <f t="shared" si="18"/>
      </c>
      <c r="R91" s="33"/>
      <c r="S91" s="45"/>
      <c r="T91" s="33"/>
      <c r="U91" s="38" t="s">
        <v>26</v>
      </c>
      <c r="V91" s="33"/>
      <c r="W91" s="37">
        <f t="shared" si="19"/>
        <v>1</v>
      </c>
      <c r="X91" s="57">
        <f aca="true" t="shared" si="20" ref="X91:Z98">IF(O91="–",0,IF($U91="Positive Number",IF(OR(O91&lt;0,ISTEXT(O91),ISERROR(O91)),1,0),IF(OR(ISTEXT(O91),ISERROR(O91)),1,0)))</f>
        <v>1</v>
      </c>
      <c r="Y91" s="57">
        <f t="shared" si="20"/>
        <v>1</v>
      </c>
      <c r="Z91" s="57">
        <f t="shared" si="20"/>
        <v>1</v>
      </c>
      <c r="AA91" s="264"/>
      <c r="AB91" s="47"/>
    </row>
    <row r="92" spans="1:28" ht="13.5" customHeight="1">
      <c r="A92" s="1"/>
      <c r="B92" s="270"/>
      <c r="C92" s="4" t="str">
        <f t="shared" si="16"/>
        <v>SUBCIC – Income statement – Transaction and performance-based revenues</v>
      </c>
      <c r="D92" s="218" t="s">
        <v>141</v>
      </c>
      <c r="E92" s="290"/>
      <c r="F92" s="33"/>
      <c r="G92" s="170">
        <v>180</v>
      </c>
      <c r="H92" s="170">
        <v>207</v>
      </c>
      <c r="I92" s="170">
        <v>161</v>
      </c>
      <c r="J92" s="170">
        <v>146</v>
      </c>
      <c r="K92" s="170">
        <v>190</v>
      </c>
      <c r="L92" s="141">
        <f t="shared" si="17"/>
      </c>
      <c r="M92" s="142"/>
      <c r="N92" s="170">
        <v>694</v>
      </c>
      <c r="O92" s="141">
        <f t="shared" si="18"/>
      </c>
      <c r="P92" s="141">
        <f t="shared" si="18"/>
      </c>
      <c r="Q92" s="141">
        <f t="shared" si="18"/>
      </c>
      <c r="R92" s="33"/>
      <c r="S92" s="45"/>
      <c r="T92" s="33"/>
      <c r="U92" s="38" t="s">
        <v>26</v>
      </c>
      <c r="V92" s="33"/>
      <c r="W92" s="37">
        <f t="shared" si="19"/>
        <v>1</v>
      </c>
      <c r="X92" s="57">
        <f t="shared" si="20"/>
        <v>1</v>
      </c>
      <c r="Y92" s="57">
        <f t="shared" si="20"/>
        <v>1</v>
      </c>
      <c r="Z92" s="57">
        <f t="shared" si="20"/>
        <v>1</v>
      </c>
      <c r="AA92" s="264"/>
      <c r="AB92" s="47"/>
    </row>
    <row r="93" spans="1:28" s="207" customFormat="1" ht="13.5" customHeight="1">
      <c r="A93" s="1"/>
      <c r="B93" s="270"/>
      <c r="C93" s="4" t="str">
        <f t="shared" si="16"/>
        <v>SUBCIC – Income statement – Other revenues</v>
      </c>
      <c r="D93" s="218" t="s">
        <v>136</v>
      </c>
      <c r="E93" s="290"/>
      <c r="F93" s="33"/>
      <c r="G93" s="170">
        <v>-15</v>
      </c>
      <c r="H93" s="170">
        <v>-5</v>
      </c>
      <c r="I93" s="170">
        <v>-21</v>
      </c>
      <c r="J93" s="170">
        <v>-14</v>
      </c>
      <c r="K93" s="170">
        <v>2</v>
      </c>
      <c r="L93" s="141">
        <f t="shared" si="17"/>
      </c>
      <c r="M93" s="142"/>
      <c r="N93" s="170">
        <v>-55</v>
      </c>
      <c r="O93" s="141">
        <f t="shared" si="18"/>
      </c>
      <c r="P93" s="141">
        <f t="shared" si="18"/>
      </c>
      <c r="Q93" s="141">
        <f t="shared" si="18"/>
      </c>
      <c r="R93" s="33"/>
      <c r="S93" s="45"/>
      <c r="T93" s="33"/>
      <c r="U93" s="237" t="s">
        <v>26</v>
      </c>
      <c r="V93" s="33"/>
      <c r="W93" s="238">
        <f t="shared" si="19"/>
        <v>1</v>
      </c>
      <c r="X93" s="239">
        <f t="shared" si="20"/>
        <v>1</v>
      </c>
      <c r="Y93" s="239">
        <f t="shared" si="20"/>
        <v>1</v>
      </c>
      <c r="Z93" s="239">
        <f t="shared" si="20"/>
        <v>1</v>
      </c>
      <c r="AA93" s="263"/>
      <c r="AB93" s="47"/>
    </row>
    <row r="94" spans="1:28" ht="13.5" customHeight="1">
      <c r="A94" s="1"/>
      <c r="B94" s="270"/>
      <c r="C94" s="4" t="str">
        <f t="shared" si="16"/>
        <v>SUBCIC – Income statement – Net revenues</v>
      </c>
      <c r="D94" s="288" t="s">
        <v>1</v>
      </c>
      <c r="E94" s="289"/>
      <c r="F94" s="27"/>
      <c r="G94" s="277">
        <f>IF(ISERROR(G90+G91+G92+G93),"–",G90+G91+G92+G93)</f>
        <v>643</v>
      </c>
      <c r="H94" s="277">
        <f>IF(ISERROR(H90+H91+H92+H93),"–",H90+H91+H92+H93)</f>
        <v>672</v>
      </c>
      <c r="I94" s="277">
        <f>IF(ISERROR(I90+I91+I92+I93),"–",I90+I91+I92+I93)</f>
        <v>592</v>
      </c>
      <c r="J94" s="277">
        <f>IF(ISERROR(J90+J91+J92+J93),"–",J90+J91+J92+J93)</f>
        <v>592</v>
      </c>
      <c r="K94" s="277">
        <f>IF(ISERROR(K90+K91+K92+K93),"–",K90+K91+K92+K93)</f>
        <v>669</v>
      </c>
      <c r="L94" s="277" t="str">
        <f>IF(ISERROR(L90+L91+L92+L93),"–",L90+L91+L92+L93)</f>
        <v>–</v>
      </c>
      <c r="M94" s="153"/>
      <c r="N94" s="277">
        <f>IF(ISERROR(N90+N91+N92+N93),"–",N90+N91+N92+N93)</f>
        <v>2499</v>
      </c>
      <c r="O94" s="277" t="str">
        <f>IF(ISERROR(O90+O91+O92+O93),"–",O90+O91+O92+O93)</f>
        <v>–</v>
      </c>
      <c r="P94" s="277" t="str">
        <f>IF(ISERROR(P90+P91+P92+P93),"–",P90+P91+P92+P93)</f>
        <v>–</v>
      </c>
      <c r="Q94" s="277" t="str">
        <f>IF(ISERROR(Q90+Q91+Q92+Q93),"–",Q90+Q91+Q92+Q93)</f>
        <v>–</v>
      </c>
      <c r="R94" s="27"/>
      <c r="S94" s="45"/>
      <c r="T94" s="27"/>
      <c r="U94" s="38" t="s">
        <v>25</v>
      </c>
      <c r="V94" s="27"/>
      <c r="W94" s="37">
        <f t="shared" si="19"/>
        <v>0</v>
      </c>
      <c r="X94" s="57">
        <f t="shared" si="20"/>
        <v>0</v>
      </c>
      <c r="Y94" s="57">
        <f t="shared" si="20"/>
        <v>0</v>
      </c>
      <c r="Z94" s="57">
        <f t="shared" si="20"/>
        <v>0</v>
      </c>
      <c r="AA94" s="263"/>
      <c r="AB94" s="47"/>
    </row>
    <row r="95" spans="1:28" ht="13.5" customHeight="1">
      <c r="A95" s="10"/>
      <c r="B95" s="270"/>
      <c r="C95" s="4" t="str">
        <f t="shared" si="16"/>
        <v>SUBCIC – Income statement – Provision for credit losses</v>
      </c>
      <c r="D95" s="288" t="s">
        <v>5</v>
      </c>
      <c r="E95" s="289"/>
      <c r="F95" s="27"/>
      <c r="G95" s="145">
        <v>-2</v>
      </c>
      <c r="H95" s="145">
        <v>25</v>
      </c>
      <c r="I95" s="145">
        <v>5</v>
      </c>
      <c r="J95" s="145">
        <v>5</v>
      </c>
      <c r="K95" s="145">
        <v>24</v>
      </c>
      <c r="L95" s="147">
        <f t="shared" si="17"/>
      </c>
      <c r="M95" s="153"/>
      <c r="N95" s="145">
        <v>33</v>
      </c>
      <c r="O95" s="147">
        <f aca="true" t="shared" si="21" ref="O95:Q97">IF(O$27="No","–",IF(INDEX(CS_CONS_LINK_ARRAY,MATCH($C95,CS_CONS_LINK_COLUMN,0),MATCH(O$1,CS_CONS_LINK_ROW,0))="","",INDEX(CS_CONS_LINK_ARRAY,MATCH($C95,CS_CONS_LINK_COLUMN,0),MATCH(O$1,CS_CONS_LINK_ROW,0))))</f>
      </c>
      <c r="P95" s="147">
        <f t="shared" si="21"/>
      </c>
      <c r="Q95" s="147">
        <f t="shared" si="21"/>
      </c>
      <c r="R95" s="27"/>
      <c r="S95" s="45"/>
      <c r="T95" s="27"/>
      <c r="U95" s="38" t="s">
        <v>26</v>
      </c>
      <c r="V95" s="27"/>
      <c r="W95" s="37">
        <f t="shared" si="19"/>
        <v>1</v>
      </c>
      <c r="X95" s="57">
        <f t="shared" si="20"/>
        <v>1</v>
      </c>
      <c r="Y95" s="57">
        <f t="shared" si="20"/>
        <v>1</v>
      </c>
      <c r="Z95" s="57">
        <f t="shared" si="20"/>
        <v>1</v>
      </c>
      <c r="AA95" s="263"/>
      <c r="AB95" s="64"/>
    </row>
    <row r="96" spans="1:28" s="207" customFormat="1" ht="13.5" customHeight="1">
      <c r="A96" s="1"/>
      <c r="B96" s="270"/>
      <c r="C96" s="4" t="str">
        <f t="shared" si="16"/>
        <v>SUBCIC – Income statement – Compensation and benefits</v>
      </c>
      <c r="D96" s="76" t="s">
        <v>6</v>
      </c>
      <c r="E96" s="84"/>
      <c r="F96" s="33"/>
      <c r="G96" s="170">
        <v>219</v>
      </c>
      <c r="H96" s="170">
        <v>222</v>
      </c>
      <c r="I96" s="170">
        <v>219</v>
      </c>
      <c r="J96" s="170">
        <v>209</v>
      </c>
      <c r="K96" s="170">
        <v>210</v>
      </c>
      <c r="L96" s="141">
        <f>IF(L$27="No","–",IF(INDEX(CS_CONS_LINK_ARRAY,MATCH($C96,CS_CONS_LINK_COLUMN,0),MATCH(L$1,CS_CONS_LINK_ROW,0))="","",INDEX(CS_CONS_LINK_ARRAY,MATCH($C96,CS_CONS_LINK_COLUMN,0),MATCH(L$1,CS_CONS_LINK_ROW,0))))</f>
      </c>
      <c r="M96" s="142"/>
      <c r="N96" s="170">
        <v>833</v>
      </c>
      <c r="O96" s="141">
        <f t="shared" si="21"/>
      </c>
      <c r="P96" s="141">
        <f t="shared" si="21"/>
      </c>
      <c r="Q96" s="141">
        <f t="shared" si="21"/>
      </c>
      <c r="R96" s="33"/>
      <c r="S96" s="45"/>
      <c r="T96" s="33"/>
      <c r="U96" s="237" t="s">
        <v>25</v>
      </c>
      <c r="V96" s="33"/>
      <c r="W96" s="238">
        <f t="shared" si="19"/>
        <v>1</v>
      </c>
      <c r="X96" s="239">
        <f t="shared" si="20"/>
        <v>1</v>
      </c>
      <c r="Y96" s="239">
        <f t="shared" si="20"/>
        <v>1</v>
      </c>
      <c r="Z96" s="239">
        <f t="shared" si="20"/>
        <v>1</v>
      </c>
      <c r="AA96" s="263"/>
      <c r="AB96" s="47"/>
    </row>
    <row r="97" spans="1:28" s="207" customFormat="1" ht="13.5" customHeight="1">
      <c r="A97" s="1"/>
      <c r="B97" s="270"/>
      <c r="C97" s="4" t="str">
        <f t="shared" si="16"/>
        <v>SUBCIC – Income statement – Total other operating expenses</v>
      </c>
      <c r="D97" s="76" t="s">
        <v>137</v>
      </c>
      <c r="E97" s="84"/>
      <c r="F97" s="33"/>
      <c r="G97" s="170">
        <v>183</v>
      </c>
      <c r="H97" s="170">
        <v>145</v>
      </c>
      <c r="I97" s="170">
        <v>148</v>
      </c>
      <c r="J97" s="170">
        <v>157</v>
      </c>
      <c r="K97" s="170">
        <v>137</v>
      </c>
      <c r="L97" s="141">
        <f>IF(L$27="No","–",IF(INDEX(CS_CONS_LINK_ARRAY,MATCH($C97,CS_CONS_LINK_COLUMN,0),MATCH(L$1,CS_CONS_LINK_ROW,0))="","",INDEX(CS_CONS_LINK_ARRAY,MATCH($C97,CS_CONS_LINK_COLUMN,0),MATCH(L$1,CS_CONS_LINK_ROW,0))))</f>
      </c>
      <c r="M97" s="142"/>
      <c r="N97" s="170">
        <v>669</v>
      </c>
      <c r="O97" s="141">
        <f t="shared" si="21"/>
      </c>
      <c r="P97" s="141">
        <f t="shared" si="21"/>
      </c>
      <c r="Q97" s="141">
        <f t="shared" si="21"/>
      </c>
      <c r="R97" s="33"/>
      <c r="S97" s="45"/>
      <c r="T97" s="33"/>
      <c r="U97" s="237" t="s">
        <v>25</v>
      </c>
      <c r="V97" s="33"/>
      <c r="W97" s="238">
        <f t="shared" si="19"/>
        <v>1</v>
      </c>
      <c r="X97" s="239">
        <f t="shared" si="20"/>
        <v>1</v>
      </c>
      <c r="Y97" s="239">
        <f t="shared" si="20"/>
        <v>1</v>
      </c>
      <c r="Z97" s="239">
        <f t="shared" si="20"/>
        <v>1</v>
      </c>
      <c r="AA97" s="263"/>
      <c r="AB97" s="47"/>
    </row>
    <row r="98" spans="1:28" ht="13.5" customHeight="1">
      <c r="A98" s="1"/>
      <c r="B98" s="270"/>
      <c r="C98" s="4" t="str">
        <f t="shared" si="16"/>
        <v>SUBCIC – Income statement – Total operating expenses</v>
      </c>
      <c r="D98" s="288" t="s">
        <v>7</v>
      </c>
      <c r="E98" s="289"/>
      <c r="F98" s="29"/>
      <c r="G98" s="275">
        <f>IF(ISERROR(G96+G97),"–",G96+G97)</f>
        <v>402</v>
      </c>
      <c r="H98" s="275">
        <f>IF(ISERROR(H96+H97),"–",H96+H97)</f>
        <v>367</v>
      </c>
      <c r="I98" s="275">
        <f>IF(ISERROR(I96+I97),"–",I96+I97)</f>
        <v>367</v>
      </c>
      <c r="J98" s="275">
        <f>IF(ISERROR(J96+J97),"–",J96+J97)</f>
        <v>366</v>
      </c>
      <c r="K98" s="275">
        <f>IF(ISERROR(K96+K97),"–",K96+K97)</f>
        <v>347</v>
      </c>
      <c r="L98" s="275" t="str">
        <f>IF(ISERROR(L96+L97),"–",L96+L97)</f>
        <v>–</v>
      </c>
      <c r="M98" s="154"/>
      <c r="N98" s="275">
        <f>IF(ISERROR(N96+N97),"–",N96+N97)</f>
        <v>1502</v>
      </c>
      <c r="O98" s="275" t="str">
        <f>IF(ISERROR(O96+O97),"–",O96+O97)</f>
        <v>–</v>
      </c>
      <c r="P98" s="275" t="str">
        <f>IF(ISERROR(P96+P97),"–",P96+P97)</f>
        <v>–</v>
      </c>
      <c r="Q98" s="275" t="str">
        <f>IF(ISERROR(Q96+Q97),"–",Q96+Q97)</f>
        <v>–</v>
      </c>
      <c r="R98" s="29"/>
      <c r="S98" s="45"/>
      <c r="T98" s="29"/>
      <c r="U98" s="38" t="s">
        <v>26</v>
      </c>
      <c r="V98" s="27"/>
      <c r="W98" s="37">
        <f t="shared" si="19"/>
        <v>0</v>
      </c>
      <c r="X98" s="57">
        <f t="shared" si="20"/>
        <v>0</v>
      </c>
      <c r="Y98" s="57">
        <f t="shared" si="20"/>
        <v>0</v>
      </c>
      <c r="Z98" s="57">
        <f t="shared" si="20"/>
        <v>0</v>
      </c>
      <c r="AA98" s="263"/>
      <c r="AB98" s="47"/>
    </row>
    <row r="99" spans="1:28" ht="13.5" customHeight="1">
      <c r="A99" s="1"/>
      <c r="B99" s="270"/>
      <c r="C99" s="4" t="str">
        <f t="shared" si="16"/>
        <v>SUBCIC – Income statement – Income from continuing operations before taxes</v>
      </c>
      <c r="D99" s="75" t="s">
        <v>8</v>
      </c>
      <c r="E99" s="83"/>
      <c r="F99" s="29"/>
      <c r="G99" s="145">
        <f>IF(ISERROR(G94-G95-G98),"–",G94-G95-G98)</f>
        <v>243</v>
      </c>
      <c r="H99" s="145">
        <f>IF(ISERROR(H94-H95-H98),"–",H94-H95-H98)</f>
        <v>280</v>
      </c>
      <c r="I99" s="145">
        <f>IF(ISERROR(I94-I95-I98),"–",I94-I95-I98)</f>
        <v>220</v>
      </c>
      <c r="J99" s="145">
        <f>IF(ISERROR(J94-J95-J98),"–",J94-J95-J98)</f>
        <v>221</v>
      </c>
      <c r="K99" s="145">
        <f>IF(ISERROR(K94-K95-K98),"–",K94-K95-K98)</f>
        <v>298</v>
      </c>
      <c r="L99" s="145" t="str">
        <f>IF(ISERROR(L94-L95-L98),"–",L94-L95-L98)</f>
        <v>–</v>
      </c>
      <c r="M99" s="154"/>
      <c r="N99" s="145">
        <f>IF(ISERROR(N94-N95-N98),"–",N94-N95-N98)</f>
        <v>964</v>
      </c>
      <c r="O99" s="145" t="str">
        <f>IF(ISERROR(O94-O95-O98),"–",O94-O95-O98)</f>
        <v>–</v>
      </c>
      <c r="P99" s="145" t="str">
        <f>IF(ISERROR(P94-P95-P98),"–",P94-P95-P98)</f>
        <v>–</v>
      </c>
      <c r="Q99" s="145" t="str">
        <f>IF(ISERROR(Q94-Q95-Q98),"–",Q94-Q95-Q98)</f>
        <v>–</v>
      </c>
      <c r="R99" s="29"/>
      <c r="S99" s="45"/>
      <c r="T99" s="29"/>
      <c r="U99" s="36"/>
      <c r="V99" s="29"/>
      <c r="W99" s="5"/>
      <c r="X99" s="54"/>
      <c r="Y99" s="54"/>
      <c r="Z99" s="54"/>
      <c r="AA99" s="263"/>
      <c r="AB99" s="47"/>
    </row>
    <row r="100" spans="1:28" ht="13.5" customHeight="1">
      <c r="A100" s="1"/>
      <c r="B100" s="270"/>
      <c r="C100" s="6"/>
      <c r="D100" s="7"/>
      <c r="E100" s="35"/>
      <c r="F100" s="29"/>
      <c r="G100" s="8"/>
      <c r="H100" s="8"/>
      <c r="I100" s="8"/>
      <c r="J100" s="8"/>
      <c r="K100" s="8"/>
      <c r="L100" s="8"/>
      <c r="M100" s="154"/>
      <c r="N100" s="8"/>
      <c r="O100" s="8"/>
      <c r="P100" s="8"/>
      <c r="Q100" s="8"/>
      <c r="R100" s="29"/>
      <c r="S100" s="8"/>
      <c r="T100" s="29"/>
      <c r="U100" s="6"/>
      <c r="V100" s="29"/>
      <c r="W100" s="34"/>
      <c r="X100" s="8"/>
      <c r="Y100" s="8"/>
      <c r="Z100" s="8"/>
      <c r="AA100" s="263"/>
      <c r="AB100" s="47"/>
    </row>
    <row r="101" spans="1:28" ht="13.5" customHeight="1" hidden="1">
      <c r="A101" s="1"/>
      <c r="B101" s="270"/>
      <c r="C101" s="4" t="str">
        <f>"SUBCIC – Income statement – "&amp;D101</f>
        <v>SUBCIC – Income statement – Compensation ratio (%)</v>
      </c>
      <c r="D101" s="82" t="s">
        <v>9</v>
      </c>
      <c r="E101" s="91"/>
      <c r="F101" s="33"/>
      <c r="G101" s="151">
        <f>IF(ISERROR(G96/G94),"–",IF(ABS(G96/G94*100)&gt;NM,"–",G96/G94*100))</f>
        <v>34.05909797822706</v>
      </c>
      <c r="H101" s="151">
        <f>IF(ISERROR(H96/H94),"–",IF(ABS(H96/H94*100)&gt;NM,"–",H96/H94*100))</f>
        <v>33.035714285714285</v>
      </c>
      <c r="I101" s="151">
        <f>IF(ISERROR(I96/I94),"–",IF(ABS(I96/I94*100)&gt;NM,"–",I96/I94*100))</f>
        <v>36.99324324324324</v>
      </c>
      <c r="J101" s="151">
        <f>IF(ISERROR(J96/J94),"–",IF(ABS(J96/J94*100)&gt;NM,"–",J96/J94*100))</f>
        <v>35.30405405405405</v>
      </c>
      <c r="K101" s="151">
        <f>IF(ISERROR(K96/K94),"–",IF(ABS(K96/K94*100)&gt;NM,"–",K96/K94*100))</f>
        <v>31.390134529147986</v>
      </c>
      <c r="L101" s="151" t="str">
        <f>IF(ISERROR(L96/L94),"–",IF(ABS(L96/L94*100)&gt;NM,"–",L96/L94*100))</f>
        <v>–</v>
      </c>
      <c r="M101" s="142"/>
      <c r="N101" s="151">
        <f>IF(ISERROR(N96/N94),"–",IF(ABS(N96/N94*100)&gt;NM,"–",N96/N94*100))</f>
        <v>33.33333333333333</v>
      </c>
      <c r="O101" s="151" t="str">
        <f>IF(ISERROR(O96/O94),"–",IF(ABS(O96/O94*100)&gt;NM,"–",O96/O94*100))</f>
        <v>–</v>
      </c>
      <c r="P101" s="151" t="str">
        <f>IF(ISERROR(P96/P94),"–",IF(ABS(P96/P94*100)&gt;NM,"–",P96/P94*100))</f>
        <v>–</v>
      </c>
      <c r="Q101" s="151" t="str">
        <f>IF(ISERROR(Q96/Q94),"–",IF(ABS(Q96/Q94*100)&gt;NM,"–",Q96/Q94*100))</f>
        <v>–</v>
      </c>
      <c r="R101" s="33"/>
      <c r="S101" s="45"/>
      <c r="T101" s="33"/>
      <c r="U101" s="4"/>
      <c r="V101" s="33"/>
      <c r="W101" s="12"/>
      <c r="X101" s="58"/>
      <c r="Y101" s="58"/>
      <c r="Z101" s="58"/>
      <c r="AA101" s="263"/>
      <c r="AB101" s="47"/>
    </row>
    <row r="102" spans="1:28" ht="13.5" customHeight="1" hidden="1">
      <c r="A102" s="1"/>
      <c r="B102" s="270"/>
      <c r="C102" s="4" t="str">
        <f>"SUBCIC – Income statement – "&amp;D102</f>
        <v>SUBCIC – Income statement – Non-compensation ratio (%)</v>
      </c>
      <c r="D102" s="82" t="s">
        <v>10</v>
      </c>
      <c r="E102" s="91"/>
      <c r="F102" s="33"/>
      <c r="G102" s="151">
        <f>IF(ISERROR(G97/G94),"–",IF(ABS(G97/G94*100)&gt;NM,"–",G97/G94*100))</f>
        <v>28.46034214618974</v>
      </c>
      <c r="H102" s="151">
        <f>IF(ISERROR(H97/H94),"–",IF(ABS(H97/H94*100)&gt;NM,"–",H97/H94*100))</f>
        <v>21.577380952380953</v>
      </c>
      <c r="I102" s="151">
        <f>IF(ISERROR(I97/I94),"–",IF(ABS(I97/I94*100)&gt;NM,"–",I97/I94*100))</f>
        <v>25</v>
      </c>
      <c r="J102" s="151">
        <f>IF(ISERROR(J97/J94),"–",IF(ABS(J97/J94*100)&gt;NM,"–",J97/J94*100))</f>
        <v>26.52027027027027</v>
      </c>
      <c r="K102" s="151">
        <f>IF(ISERROR(K97/K94),"–",IF(ABS(K97/K94*100)&gt;NM,"–",K97/K94*100))</f>
        <v>20.47832585949178</v>
      </c>
      <c r="L102" s="151" t="str">
        <f>IF(ISERROR(L97/L94),"–",IF(ABS(L97/L94*100)&gt;NM,"–",L97/L94*100))</f>
        <v>–</v>
      </c>
      <c r="M102" s="142"/>
      <c r="N102" s="151">
        <f>IF(ISERROR(N97/N94),"–",IF(ABS(N97/N94*100)&gt;NM,"–",N97/N94*100))</f>
        <v>26.770708283313326</v>
      </c>
      <c r="O102" s="151" t="str">
        <f>IF(ISERROR(O97/O94),"–",IF(ABS(O97/O94*100)&gt;NM,"–",O97/O94*100))</f>
        <v>–</v>
      </c>
      <c r="P102" s="151" t="str">
        <f>IF(ISERROR(P97/P94),"–",IF(ABS(P97/P94*100)&gt;NM,"–",P97/P94*100))</f>
        <v>–</v>
      </c>
      <c r="Q102" s="151" t="str">
        <f>IF(ISERROR(Q97/Q94),"–",IF(ABS(Q97/Q94*100)&gt;NM,"–",Q97/Q94*100))</f>
        <v>–</v>
      </c>
      <c r="R102" s="33"/>
      <c r="S102" s="45"/>
      <c r="T102" s="33"/>
      <c r="U102" s="4"/>
      <c r="V102" s="33"/>
      <c r="W102" s="12"/>
      <c r="X102" s="58"/>
      <c r="Y102" s="58"/>
      <c r="Z102" s="58"/>
      <c r="AA102" s="263"/>
      <c r="AB102" s="47"/>
    </row>
    <row r="103" spans="1:28" ht="13.5" customHeight="1">
      <c r="A103" s="1"/>
      <c r="B103" s="270"/>
      <c r="C103" s="4" t="str">
        <f>"SUBCIC – Income statement – "&amp;D103</f>
        <v>SUBCIC – Income statement – Cost / income ratio (%)</v>
      </c>
      <c r="D103" s="77" t="s">
        <v>11</v>
      </c>
      <c r="E103" s="85"/>
      <c r="F103" s="31"/>
      <c r="G103" s="151">
        <f>IF(ISERROR(G98/G94),"–",IF(ABS(G98/G94*100)&gt;NM,"–",G98/G94*100))</f>
        <v>62.51944012441679</v>
      </c>
      <c r="H103" s="151">
        <f>IF(ISERROR(H98/H94),"–",IF(ABS(H98/H94*100)&gt;NM,"–",H98/H94*100))</f>
        <v>54.613095238095234</v>
      </c>
      <c r="I103" s="151">
        <f>IF(ISERROR(I98/I94),"–",IF(ABS(I98/I94*100)&gt;NM,"–",I98/I94*100))</f>
        <v>61.99324324324324</v>
      </c>
      <c r="J103" s="151">
        <f>IF(ISERROR(J98/J94),"–",IF(ABS(J98/J94*100)&gt;NM,"–",J98/J94*100))</f>
        <v>61.82432432432432</v>
      </c>
      <c r="K103" s="151">
        <f>IF(ISERROR(K98/K94),"–",IF(ABS(K98/K94*100)&gt;NM,"–",K98/K94*100))</f>
        <v>51.86846038863976</v>
      </c>
      <c r="L103" s="151" t="str">
        <f>IF(ISERROR(L98/L94),"–",IF(ABS(L98/L94*100)&gt;NM,"–",L98/L94*100))</f>
        <v>–</v>
      </c>
      <c r="M103" s="157"/>
      <c r="N103" s="151">
        <f>IF(ISERROR(N98/N94),"–",IF(ABS(N98/N94*100)&gt;NM,"–",N98/N94*100))</f>
        <v>60.10404161664666</v>
      </c>
      <c r="O103" s="151" t="str">
        <f>IF(ISERROR(O98/O94),"–",IF(ABS(O98/O94*100)&gt;NM,"–",O98/O94*100))</f>
        <v>–</v>
      </c>
      <c r="P103" s="151" t="str">
        <f>IF(ISERROR(P98/P94),"–",IF(ABS(P98/P94*100)&gt;NM,"–",P98/P94*100))</f>
        <v>–</v>
      </c>
      <c r="Q103" s="151" t="str">
        <f>IF(ISERROR(Q98/Q94),"–",IF(ABS(Q98/Q94*100)&gt;NM,"–",Q98/Q94*100))</f>
        <v>–</v>
      </c>
      <c r="R103" s="31"/>
      <c r="S103" s="45"/>
      <c r="T103" s="31"/>
      <c r="U103" s="4"/>
      <c r="V103" s="31"/>
      <c r="W103" s="13"/>
      <c r="X103" s="59"/>
      <c r="Y103" s="59"/>
      <c r="Z103" s="59"/>
      <c r="AA103" s="263"/>
      <c r="AB103" s="47"/>
    </row>
    <row r="104" spans="1:28" ht="13.5" customHeight="1">
      <c r="A104" s="1"/>
      <c r="B104" s="271"/>
      <c r="C104" s="4" t="str">
        <f>"SUBCIC – Income statement – "&amp;D104</f>
        <v>SUBCIC – Income statement – Pre-tax income margin (%)</v>
      </c>
      <c r="D104" s="77" t="s">
        <v>12</v>
      </c>
      <c r="E104" s="85"/>
      <c r="F104" s="31"/>
      <c r="G104" s="151">
        <f>IF(ISERROR(G99/G94),"–",IF(ABS(G99/G94*100)&gt;NM,"–",G99/G94*100))</f>
        <v>37.791601866251945</v>
      </c>
      <c r="H104" s="151">
        <f>IF(ISERROR(H99/H94),"–",IF(ABS(H99/H94*100)&gt;NM,"–",H99/H94*100))</f>
        <v>41.66666666666667</v>
      </c>
      <c r="I104" s="151">
        <f>IF(ISERROR(I99/I94),"–",IF(ABS(I99/I94*100)&gt;NM,"–",I99/I94*100))</f>
        <v>37.16216216216216</v>
      </c>
      <c r="J104" s="151">
        <f>IF(ISERROR(J99/J94),"–",IF(ABS(J99/J94*100)&gt;NM,"–",J99/J94*100))</f>
        <v>37.33108108108108</v>
      </c>
      <c r="K104" s="151">
        <f>IF(ISERROR(K99/K94),"–",IF(ABS(K99/K94*100)&gt;NM,"–",K99/K94*100))</f>
        <v>44.5440956651719</v>
      </c>
      <c r="L104" s="151" t="str">
        <f>IF(ISERROR(L99/L94),"–",IF(ABS(L99/L94*100)&gt;NM,"–",L99/L94*100))</f>
        <v>–</v>
      </c>
      <c r="M104" s="157"/>
      <c r="N104" s="151">
        <f>IF(ISERROR(N99/N94),"–",IF(ABS(N99/N94*100)&gt;NM,"–",N99/N94*100))</f>
        <v>38.57543017206883</v>
      </c>
      <c r="O104" s="151" t="str">
        <f>IF(ISERROR(O99/O94),"–",IF(ABS(O99/O94*100)&gt;NM,"–",O99/O94*100))</f>
        <v>–</v>
      </c>
      <c r="P104" s="151" t="str">
        <f>IF(ISERROR(P99/P94),"–",IF(ABS(P99/P94*100)&gt;NM,"–",P99/P94*100))</f>
        <v>–</v>
      </c>
      <c r="Q104" s="151" t="str">
        <f>IF(ISERROR(Q99/Q94),"–",IF(ABS(Q99/Q94*100)&gt;NM,"–",Q99/Q94*100))</f>
        <v>–</v>
      </c>
      <c r="R104" s="31"/>
      <c r="S104" s="45"/>
      <c r="T104" s="31"/>
      <c r="U104" s="4"/>
      <c r="V104" s="31"/>
      <c r="W104" s="13"/>
      <c r="X104" s="59"/>
      <c r="Y104" s="59"/>
      <c r="Z104" s="59"/>
      <c r="AA104" s="263"/>
      <c r="AB104" s="47"/>
    </row>
    <row r="105" spans="1:28" ht="13.5" customHeight="1">
      <c r="A105" s="1"/>
      <c r="B105" s="270"/>
      <c r="C105" s="6"/>
      <c r="D105" s="7"/>
      <c r="E105" s="7"/>
      <c r="F105" s="33"/>
      <c r="G105" s="8"/>
      <c r="H105" s="8"/>
      <c r="I105" s="8"/>
      <c r="J105" s="8"/>
      <c r="K105" s="8"/>
      <c r="L105" s="8"/>
      <c r="M105" s="142"/>
      <c r="N105" s="8"/>
      <c r="O105" s="8"/>
      <c r="P105" s="8"/>
      <c r="Q105" s="8"/>
      <c r="R105" s="33"/>
      <c r="S105" s="8"/>
      <c r="T105" s="29"/>
      <c r="U105" s="2"/>
      <c r="V105" s="25"/>
      <c r="W105" s="2"/>
      <c r="X105" s="2"/>
      <c r="Y105" s="2"/>
      <c r="Z105" s="2"/>
      <c r="AA105" s="263"/>
      <c r="AB105" s="47"/>
    </row>
    <row r="106" spans="1:28" ht="13.5" customHeight="1">
      <c r="A106" s="1"/>
      <c r="B106" s="271"/>
      <c r="C106" s="2"/>
      <c r="D106" s="2"/>
      <c r="E106" s="2"/>
      <c r="F106" s="25"/>
      <c r="G106" s="137"/>
      <c r="H106" s="137"/>
      <c r="I106" s="137"/>
      <c r="J106" s="137"/>
      <c r="K106" s="137"/>
      <c r="L106" s="136"/>
      <c r="M106" s="159"/>
      <c r="N106" s="137"/>
      <c r="O106" s="136"/>
      <c r="P106" s="136"/>
      <c r="Q106" s="136"/>
      <c r="R106" s="25"/>
      <c r="S106" s="2"/>
      <c r="T106" s="25"/>
      <c r="U106" s="2"/>
      <c r="V106" s="25"/>
      <c r="W106" s="2"/>
      <c r="X106" s="2"/>
      <c r="Y106" s="2"/>
      <c r="Z106" s="2"/>
      <c r="AA106" s="263"/>
      <c r="AB106" s="47"/>
    </row>
    <row r="107" spans="1:28" ht="13.5" customHeight="1">
      <c r="A107" s="1"/>
      <c r="B107" s="270"/>
      <c r="C107" s="3"/>
      <c r="D107" s="3" t="s">
        <v>13</v>
      </c>
      <c r="E107" s="3"/>
      <c r="F107" s="26"/>
      <c r="G107" s="140"/>
      <c r="H107" s="140"/>
      <c r="I107" s="140"/>
      <c r="J107" s="140"/>
      <c r="K107" s="140"/>
      <c r="L107" s="138"/>
      <c r="M107" s="139"/>
      <c r="N107" s="140"/>
      <c r="O107" s="138"/>
      <c r="P107" s="138"/>
      <c r="Q107" s="138"/>
      <c r="R107" s="26"/>
      <c r="S107" s="3"/>
      <c r="T107" s="26"/>
      <c r="U107" s="3"/>
      <c r="V107" s="26"/>
      <c r="W107" s="3"/>
      <c r="X107" s="3"/>
      <c r="Y107" s="3"/>
      <c r="Z107" s="3"/>
      <c r="AA107" s="264"/>
      <c r="AB107" s="47"/>
    </row>
    <row r="108" spans="1:28" ht="13.5" customHeight="1">
      <c r="A108" s="1"/>
      <c r="B108" s="270"/>
      <c r="C108" s="4" t="str">
        <f>"SUBCIC – Assets under management – "&amp;D108</f>
        <v>SUBCIC – Assets under management – Assets under management (beginning of period)</v>
      </c>
      <c r="D108" s="75" t="s">
        <v>62</v>
      </c>
      <c r="E108" s="83"/>
      <c r="F108" s="26"/>
      <c r="G108" s="278">
        <v>339.3</v>
      </c>
      <c r="H108" s="278">
        <v>348.9</v>
      </c>
      <c r="I108" s="162">
        <v>352.5</v>
      </c>
      <c r="J108" s="162">
        <v>346.7</v>
      </c>
      <c r="K108" s="162">
        <v>354.7</v>
      </c>
      <c r="L108" s="160" t="str">
        <f>IF(OR(L109="–",L109=""),"–",K111)</f>
        <v>–</v>
      </c>
      <c r="M108" s="161"/>
      <c r="N108" s="278">
        <v>339.3</v>
      </c>
      <c r="O108" s="160" t="str">
        <f>IF(OR(O109="–",O109=""),"–",N111)</f>
        <v>–</v>
      </c>
      <c r="P108" s="160" t="str">
        <f>IF(OR(P109="–",P109=""),"–",O111)</f>
        <v>–</v>
      </c>
      <c r="Q108" s="160" t="str">
        <f>IF(OR(Q109="–",Q109=""),"–",P111)</f>
        <v>–</v>
      </c>
      <c r="R108" s="32"/>
      <c r="S108" s="45"/>
      <c r="T108" s="32"/>
      <c r="U108" s="38"/>
      <c r="V108" s="32"/>
      <c r="W108" s="18"/>
      <c r="X108" s="62"/>
      <c r="Y108" s="62"/>
      <c r="Z108" s="62"/>
      <c r="AA108" s="263"/>
      <c r="AB108" s="47"/>
    </row>
    <row r="109" spans="1:28" s="207" customFormat="1" ht="13.5" customHeight="1">
      <c r="A109" s="1"/>
      <c r="B109" s="270"/>
      <c r="C109" s="4" t="str">
        <f>"SUBCIC – Assets under management – "&amp;D109</f>
        <v>SUBCIC – Assets under management – Net new assets</v>
      </c>
      <c r="D109" s="291" t="s">
        <v>14</v>
      </c>
      <c r="E109" s="292"/>
      <c r="F109" s="30"/>
      <c r="G109" s="279">
        <v>0</v>
      </c>
      <c r="H109" s="279">
        <v>0</v>
      </c>
      <c r="I109" s="279">
        <v>-13.7</v>
      </c>
      <c r="J109" s="279">
        <v>-0.2</v>
      </c>
      <c r="K109" s="279">
        <v>3.8</v>
      </c>
      <c r="L109" s="163">
        <f>IF(L$27="No","–",IF(INDEX(CS_CONS_LINK_ARRAY,MATCH($C109,CS_CONS_LINK_COLUMN,0),MATCH(L$1,CS_CONS_LINK_ROW,0))="","",INDEX(CS_CONS_LINK_ARRAY,MATCH($C109,CS_CONS_LINK_COLUMN,0),MATCH(L$1,CS_CONS_LINK_ROW,0))))</f>
      </c>
      <c r="M109" s="156"/>
      <c r="N109" s="164">
        <v>-13.9</v>
      </c>
      <c r="O109" s="163">
        <f>IF(O$27="No","–",IF(INDEX(CS_CONS_LINK_ARRAY,MATCH($C109,CS_CONS_LINK_COLUMN,0),MATCH(O$1,CS_CONS_LINK_ROW,0))="","",INDEX(CS_CONS_LINK_ARRAY,MATCH($C109,CS_CONS_LINK_COLUMN,0),MATCH(O$1,CS_CONS_LINK_ROW,0))))</f>
      </c>
      <c r="P109" s="163">
        <f>IF(P$27="No","–",IF(INDEX(CS_CONS_LINK_ARRAY,MATCH($C109,CS_CONS_LINK_COLUMN,0),MATCH(P$1,CS_CONS_LINK_ROW,0))="","",INDEX(CS_CONS_LINK_ARRAY,MATCH($C109,CS_CONS_LINK_COLUMN,0),MATCH(P$1,CS_CONS_LINK_ROW,0))))</f>
      </c>
      <c r="Q109" s="163">
        <f>IF(Q$27="No","–",IF(INDEX(CS_CONS_LINK_ARRAY,MATCH($C109,CS_CONS_LINK_COLUMN,0),MATCH(Q$1,CS_CONS_LINK_ROW,0))="","",INDEX(CS_CONS_LINK_ARRAY,MATCH($C109,CS_CONS_LINK_COLUMN,0),MATCH(Q$1,CS_CONS_LINK_ROW,0))))</f>
      </c>
      <c r="R109" s="30"/>
      <c r="S109" s="45"/>
      <c r="T109" s="30"/>
      <c r="U109" s="237" t="s">
        <v>26</v>
      </c>
      <c r="V109" s="28"/>
      <c r="W109" s="238">
        <f>IF(L109="–",0,IF($U109="Positive Number",IF(OR(L109&lt;0,ISTEXT(L109),ISERROR(L109)),1,0),IF(OR(ISTEXT(L109),ISERROR(L109)),1,0)))</f>
        <v>1</v>
      </c>
      <c r="X109" s="239">
        <f>IF(O109="–",0,IF($U109="Positive Number",IF(OR(O109&lt;0,ISTEXT(O109),ISERROR(O109)),1,0),IF(OR(ISTEXT(O109),ISERROR(O109)),1,0)))</f>
        <v>1</v>
      </c>
      <c r="Y109" s="239">
        <f>IF(P109="–",0,IF($U109="Positive Number",IF(OR(P109&lt;0,ISTEXT(P109),ISERROR(P109)),1,0),IF(OR(ISTEXT(P109),ISERROR(P109)),1,0)))</f>
        <v>1</v>
      </c>
      <c r="Z109" s="239">
        <f>IF(Q109="–",0,IF($U109="Positive Number",IF(OR(Q109&lt;0,ISTEXT(Q109),ISERROR(Q109)),1,0),IF(OR(ISTEXT(Q109),ISERROR(Q109)),1,0)))</f>
        <v>1</v>
      </c>
      <c r="AA109" s="263"/>
      <c r="AB109" s="47"/>
    </row>
    <row r="110" spans="1:28" s="207" customFormat="1" ht="13.5" customHeight="1">
      <c r="A110" s="1"/>
      <c r="B110" s="270"/>
      <c r="C110" s="4" t="str">
        <f>"SUBCIC – Assets under management – "&amp;D110</f>
        <v>SUBCIC – Assets under management – Performance / other</v>
      </c>
      <c r="D110" s="78" t="s">
        <v>15</v>
      </c>
      <c r="E110" s="86"/>
      <c r="F110" s="30"/>
      <c r="G110" s="164">
        <f>IF(ISERROR(G111-G108-G109),"–",G111-G108-G109)</f>
        <v>9.599999999999966</v>
      </c>
      <c r="H110" s="164">
        <f>IF(ISERROR(H111-H108-H109),"–",H111-H108-H109)</f>
        <v>3.6000000000000227</v>
      </c>
      <c r="I110" s="164">
        <f>IF(ISERROR(I111-I108-I109),"–",I111-I108-I109)</f>
        <v>7.899999999999988</v>
      </c>
      <c r="J110" s="164">
        <f>IF(ISERROR(J111-J108-J109),"–",J111-J108-J109)</f>
        <v>8.2</v>
      </c>
      <c r="K110" s="164">
        <f>IF(ISERROR(K111-K108-K109),"–",K111-K108-K109)</f>
        <v>-6.4999999999999885</v>
      </c>
      <c r="L110" s="164" t="str">
        <f>IF(ISERROR(L111-L108-L109),"–",L111-L108-L109)</f>
        <v>–</v>
      </c>
      <c r="M110" s="156"/>
      <c r="N110" s="164">
        <f>IF(ISERROR(N111-N108-N109),"–",N111-N108-N109)</f>
        <v>29.299999999999976</v>
      </c>
      <c r="O110" s="164" t="str">
        <f>IF(ISERROR(O111-O108-O109),"–",O111-O108-O109)</f>
        <v>–</v>
      </c>
      <c r="P110" s="164" t="str">
        <f>IF(ISERROR(P111-P108-P109),"–",P111-P108-P109)</f>
        <v>–</v>
      </c>
      <c r="Q110" s="164" t="str">
        <f>IF(ISERROR(Q111-Q108-Q109),"–",Q111-Q108-Q109)</f>
        <v>–</v>
      </c>
      <c r="R110" s="30"/>
      <c r="S110" s="45"/>
      <c r="T110" s="30"/>
      <c r="U110" s="237"/>
      <c r="V110" s="30"/>
      <c r="W110" s="16"/>
      <c r="X110" s="61"/>
      <c r="Y110" s="61"/>
      <c r="Z110" s="61"/>
      <c r="AA110" s="263"/>
      <c r="AB110" s="47"/>
    </row>
    <row r="111" spans="1:28" ht="13.5" customHeight="1">
      <c r="A111" s="1"/>
      <c r="B111" s="270"/>
      <c r="C111" s="4" t="str">
        <f>"SUBCIC – Assets under management – "&amp;D111</f>
        <v>SUBCIC – Assets under management – Assets under management (end of period)</v>
      </c>
      <c r="D111" s="293" t="s">
        <v>63</v>
      </c>
      <c r="E111" s="294"/>
      <c r="F111" s="32"/>
      <c r="G111" s="162">
        <v>348.9</v>
      </c>
      <c r="H111" s="162">
        <v>352.5</v>
      </c>
      <c r="I111" s="162">
        <v>346.7</v>
      </c>
      <c r="J111" s="162">
        <v>354.7</v>
      </c>
      <c r="K111" s="162">
        <v>352</v>
      </c>
      <c r="L111" s="165">
        <f>IF(L$27="No","–",IF(INDEX(CS_CONS_LINK_ARRAY,MATCH($C111,CS_CONS_LINK_COLUMN,0),MATCH(L$1,CS_CONS_LINK_ROW,0))="","",INDEX(CS_CONS_LINK_ARRAY,MATCH($C111,CS_CONS_LINK_COLUMN,0),MATCH(L$1,CS_CONS_LINK_ROW,0))))</f>
      </c>
      <c r="M111" s="161"/>
      <c r="N111" s="162">
        <v>354.7</v>
      </c>
      <c r="O111" s="165">
        <f>IF(O$27="No","–",IF(INDEX(CS_CONS_LINK_ARRAY,MATCH($C111,CS_CONS_LINK_COLUMN,0),MATCH(O$1,CS_CONS_LINK_ROW,0))="","",INDEX(CS_CONS_LINK_ARRAY,MATCH($C111,CS_CONS_LINK_COLUMN,0),MATCH(O$1,CS_CONS_LINK_ROW,0))))</f>
      </c>
      <c r="P111" s="165">
        <f>IF(P$27="No","–",IF(INDEX(CS_CONS_LINK_ARRAY,MATCH($C111,CS_CONS_LINK_COLUMN,0),MATCH(P$1,CS_CONS_LINK_ROW,0))="","",INDEX(CS_CONS_LINK_ARRAY,MATCH($C111,CS_CONS_LINK_COLUMN,0),MATCH(P$1,CS_CONS_LINK_ROW,0))))</f>
      </c>
      <c r="Q111" s="165">
        <f>IF(Q$27="No","–",IF(INDEX(CS_CONS_LINK_ARRAY,MATCH($C111,CS_CONS_LINK_COLUMN,0),MATCH(Q$1,CS_CONS_LINK_ROW,0))="","",INDEX(CS_CONS_LINK_ARRAY,MATCH($C111,CS_CONS_LINK_COLUMN,0),MATCH(Q$1,CS_CONS_LINK_ROW,0))))</f>
      </c>
      <c r="R111" s="32"/>
      <c r="S111" s="202"/>
      <c r="T111" s="32"/>
      <c r="U111" s="38" t="s">
        <v>25</v>
      </c>
      <c r="V111" s="32"/>
      <c r="W111" s="37">
        <f>IF(L111="–",0,IF($U111="Positive Number",IF(OR(L111&lt;0,ISTEXT(L111),ISERROR(L111)),1,0),IF(OR(ISTEXT(L111),ISERROR(L111)),1,0)))</f>
        <v>1</v>
      </c>
      <c r="X111" s="57">
        <f>IF(O111="–",0,IF($U111="Positive Number",IF(OR(O111&lt;0,ISTEXT(O111),ISERROR(O111)),1,0),IF(OR(ISTEXT(O111),ISERROR(O111)),1,0)))</f>
        <v>1</v>
      </c>
      <c r="Y111" s="57">
        <f>IF(P111="–",0,IF($U111="Positive Number",IF(OR(P111&lt;0,ISTEXT(P111),ISERROR(P111)),1,0),IF(OR(ISTEXT(P111),ISERROR(P111)),1,0)))</f>
        <v>1</v>
      </c>
      <c r="Z111" s="57">
        <f>IF(Q111="–",0,IF($U111="Positive Number",IF(OR(Q111&lt;0,ISTEXT(Q111),ISERROR(Q111)),1,0),IF(OR(ISTEXT(Q111),ISERROR(Q111)),1,0)))</f>
        <v>1</v>
      </c>
      <c r="AA111" s="263"/>
      <c r="AB111" s="47"/>
    </row>
    <row r="112" spans="1:28" ht="13.5" customHeight="1" hidden="1">
      <c r="A112" s="1"/>
      <c r="B112" s="270"/>
      <c r="C112" s="4" t="str">
        <f>"SUBCIC – Assets under management – "&amp;D112</f>
        <v>SUBCIC – Assets under management – Average assets under management</v>
      </c>
      <c r="D112" s="82" t="s">
        <v>16</v>
      </c>
      <c r="E112" s="91"/>
      <c r="F112" s="30"/>
      <c r="G112" s="205">
        <f>IF(ISERROR(G108+G111),"–",(G108+G111)/2)</f>
        <v>344.1</v>
      </c>
      <c r="H112" s="205">
        <f>IF(ISERROR(H108+H111),"–",(H108+H111)/2)</f>
        <v>350.7</v>
      </c>
      <c r="I112" s="205">
        <f>IF(ISERROR(I108+I111),"–",(I108+I111)/2)</f>
        <v>349.6</v>
      </c>
      <c r="J112" s="205">
        <f>IF(ISERROR(J108+J111),"–",(J108+J111)/2)</f>
        <v>350.7</v>
      </c>
      <c r="K112" s="205">
        <f>IF(ISERROR(K108+K111),"–",(K108+K111)/2)</f>
        <v>353.35</v>
      </c>
      <c r="L112" s="205" t="str">
        <f>IF(ISERROR(L108+L111),"–",(L108+L111)/2)</f>
        <v>–</v>
      </c>
      <c r="M112" s="156"/>
      <c r="N112" s="205">
        <f>IF(ISERROR(N108+N111),"–",(N108+N111)/2)</f>
        <v>347</v>
      </c>
      <c r="O112" s="205" t="str">
        <f>IF(ISERROR(O108+O111),"–",(O108+O111)/2)</f>
        <v>–</v>
      </c>
      <c r="P112" s="205" t="str">
        <f>IF(ISERROR(P108+P111),"–",(P108+P111)/2)</f>
        <v>–</v>
      </c>
      <c r="Q112" s="205" t="str">
        <f>IF(ISERROR(Q108+Q111),"–",(Q108+Q111)/2)</f>
        <v>–</v>
      </c>
      <c r="R112" s="31"/>
      <c r="S112" s="45"/>
      <c r="T112" s="31"/>
      <c r="U112" s="38"/>
      <c r="V112" s="31"/>
      <c r="W112" s="18"/>
      <c r="X112" s="62"/>
      <c r="Y112" s="62"/>
      <c r="Z112" s="62"/>
      <c r="AA112" s="263"/>
      <c r="AB112" s="47"/>
    </row>
    <row r="113" spans="1:28" ht="13.5" customHeight="1">
      <c r="A113" s="1"/>
      <c r="B113" s="270"/>
      <c r="C113" s="6"/>
      <c r="D113" s="7"/>
      <c r="E113" s="35"/>
      <c r="F113" s="29"/>
      <c r="G113" s="155"/>
      <c r="H113" s="155"/>
      <c r="I113" s="155"/>
      <c r="J113" s="155"/>
      <c r="K113" s="155"/>
      <c r="L113" s="155"/>
      <c r="M113" s="154"/>
      <c r="N113" s="149"/>
      <c r="O113" s="149"/>
      <c r="P113" s="149"/>
      <c r="Q113" s="149"/>
      <c r="R113" s="29"/>
      <c r="S113" s="8"/>
      <c r="T113" s="29"/>
      <c r="U113" s="6"/>
      <c r="V113" s="29"/>
      <c r="W113" s="34"/>
      <c r="X113" s="8"/>
      <c r="Y113" s="8"/>
      <c r="Z113" s="8"/>
      <c r="AA113" s="263"/>
      <c r="AB113" s="47"/>
    </row>
    <row r="114" spans="1:28" s="207" customFormat="1" ht="13.5" customHeight="1">
      <c r="A114" s="1"/>
      <c r="B114" s="270"/>
      <c r="C114" s="4" t="str">
        <f>"SUBCIC – Assets under management – "&amp;D114</f>
        <v>SUBCIC – Assets under management – Net new asset growth (%)</v>
      </c>
      <c r="D114" s="79" t="s">
        <v>17</v>
      </c>
      <c r="E114" s="87"/>
      <c r="F114" s="30"/>
      <c r="G114" s="150">
        <f>IF(ISERROR(G109/G108),"–",G109/G108*100*(4/1))</f>
        <v>0</v>
      </c>
      <c r="H114" s="150">
        <f>IF(ISERROR(H109/H108),"–",H109/H108*100*(4/1))</f>
        <v>0</v>
      </c>
      <c r="I114" s="150">
        <f>IF(ISERROR(I109/I108),"–",I109/I108*100*(4/1))</f>
        <v>-15.546099290780141</v>
      </c>
      <c r="J114" s="150">
        <f>IF(ISERROR(J109/J108),"–",J109/J108*100*(4/1))</f>
        <v>-0.2307470435535045</v>
      </c>
      <c r="K114" s="150">
        <f>IF(ISERROR(K109/K108),"–",K109/K108*100*(4/1))</f>
        <v>4.285311530871159</v>
      </c>
      <c r="L114" s="150" t="str">
        <f>IF(ISERROR(L109/L108),"–",L109/L108*100*(4/1))</f>
        <v>–</v>
      </c>
      <c r="M114" s="156"/>
      <c r="N114" s="206">
        <f>IF(ISERROR(N109/N108),"–",N109/N108*100)</f>
        <v>-4.096669613910993</v>
      </c>
      <c r="O114" s="150" t="str">
        <f>IF(ISERROR(O109/O108),"–",O109/O108*100)</f>
        <v>–</v>
      </c>
      <c r="P114" s="150" t="str">
        <f>IF(ISERROR(P109/P108),"–",P109/P108*100)</f>
        <v>–</v>
      </c>
      <c r="Q114" s="150" t="str">
        <f>IF(ISERROR(Q109/Q108),"–",Q109/Q108*100)</f>
        <v>–</v>
      </c>
      <c r="R114" s="30"/>
      <c r="S114" s="45"/>
      <c r="T114" s="30"/>
      <c r="U114" s="4"/>
      <c r="V114" s="30"/>
      <c r="W114" s="12"/>
      <c r="X114" s="58"/>
      <c r="Y114" s="58"/>
      <c r="Z114" s="58"/>
      <c r="AA114" s="263"/>
      <c r="AB114" s="47"/>
    </row>
    <row r="115" spans="1:28" s="207" customFormat="1" ht="13.5" customHeight="1">
      <c r="A115" s="1"/>
      <c r="B115" s="270"/>
      <c r="C115" s="4" t="str">
        <f>"SUBCIC – Assets under management – "&amp;D115</f>
        <v>SUBCIC – Assets under management – Performance / other growth (%)</v>
      </c>
      <c r="D115" s="79" t="s">
        <v>18</v>
      </c>
      <c r="E115" s="87"/>
      <c r="F115" s="30"/>
      <c r="G115" s="150">
        <f>IF(ISERROR(G110/G108),"–",G110/G108*100*(4/1))</f>
        <v>11.317418213969898</v>
      </c>
      <c r="H115" s="150">
        <f>IF(ISERROR(H110/H108),"–",H110/H108*100*(4/1))</f>
        <v>4.1272570937231565</v>
      </c>
      <c r="I115" s="150">
        <f>IF(ISERROR(I110/I108),"–",I110/I108*100*(4/1))</f>
        <v>8.964539007092185</v>
      </c>
      <c r="J115" s="150">
        <f>IF(ISERROR(J110/J108),"–",J110/J108*100*(4/1))</f>
        <v>9.460628785693682</v>
      </c>
      <c r="K115" s="150">
        <f>IF(ISERROR(K110/K108),"–",K110/K108*100*(4/1))</f>
        <v>-7.33013814491118</v>
      </c>
      <c r="L115" s="150" t="str">
        <f>IF(ISERROR(L110/L108),"–",L110/L108*100*(4/1))</f>
        <v>–</v>
      </c>
      <c r="M115" s="156"/>
      <c r="N115" s="206">
        <f>IF(ISERROR(N110/N108),"–",N110/N108*100)</f>
        <v>8.63542587680518</v>
      </c>
      <c r="O115" s="150" t="str">
        <f>IF(ISERROR(O110/O108),"–",O110/O108*100)</f>
        <v>–</v>
      </c>
      <c r="P115" s="150" t="str">
        <f>IF(ISERROR(P110/P108),"–",P110/P108*100)</f>
        <v>–</v>
      </c>
      <c r="Q115" s="150" t="str">
        <f>IF(ISERROR(Q110/Q108),"–",Q110/Q108*100)</f>
        <v>–</v>
      </c>
      <c r="R115" s="30"/>
      <c r="S115" s="45"/>
      <c r="T115" s="30"/>
      <c r="U115" s="4"/>
      <c r="V115" s="30"/>
      <c r="W115" s="12"/>
      <c r="X115" s="58"/>
      <c r="Y115" s="58"/>
      <c r="Z115" s="58"/>
      <c r="AA115" s="263"/>
      <c r="AB115" s="47"/>
    </row>
    <row r="116" spans="1:28" ht="13.5" customHeight="1">
      <c r="A116" s="10"/>
      <c r="B116" s="270"/>
      <c r="C116" s="4" t="str">
        <f>"SUBCIC – Assets under management – "&amp;D116</f>
        <v>SUBCIC – Assets under management – Total asset growth (%)</v>
      </c>
      <c r="D116" s="80" t="s">
        <v>20</v>
      </c>
      <c r="E116" s="88"/>
      <c r="F116" s="32"/>
      <c r="G116" s="151">
        <f>IF(ISERROR(G114+G115),"–",G114+G115)</f>
        <v>11.317418213969898</v>
      </c>
      <c r="H116" s="151">
        <f>IF(ISERROR(H114+H115),"–",H114+H115)</f>
        <v>4.1272570937231565</v>
      </c>
      <c r="I116" s="151">
        <f>IF(ISERROR(I114+I115),"–",I114+I115)</f>
        <v>-6.581560283687956</v>
      </c>
      <c r="J116" s="151">
        <f>IF(ISERROR(J114+J115),"–",J114+J115)</f>
        <v>9.229881742140178</v>
      </c>
      <c r="K116" s="151">
        <f>IF(ISERROR(K114+K115),"–",K114+K115)</f>
        <v>-3.044826614040021</v>
      </c>
      <c r="L116" s="151" t="str">
        <f>IF(ISERROR(L114+L115),"–",L114+L115)</f>
        <v>–</v>
      </c>
      <c r="M116" s="157"/>
      <c r="N116" s="158">
        <f>IF(ISERROR(N114+N115),"–",N114+N115)</f>
        <v>4.538756262894187</v>
      </c>
      <c r="O116" s="151" t="str">
        <f>IF(ISERROR(O114+O115),"–",O114+O115)</f>
        <v>–</v>
      </c>
      <c r="P116" s="151" t="str">
        <f>IF(ISERROR(P114+P115),"–",P114+P115)</f>
        <v>–</v>
      </c>
      <c r="Q116" s="151" t="str">
        <f>IF(ISERROR(Q114+Q115),"–",Q114+Q115)</f>
        <v>–</v>
      </c>
      <c r="R116" s="31"/>
      <c r="S116" s="45"/>
      <c r="T116" s="31"/>
      <c r="U116" s="4"/>
      <c r="V116" s="31"/>
      <c r="W116" s="13"/>
      <c r="X116" s="59"/>
      <c r="Y116" s="59"/>
      <c r="Z116" s="59"/>
      <c r="AA116" s="263"/>
      <c r="AB116" s="64"/>
    </row>
    <row r="117" spans="1:28" ht="13.5" customHeight="1">
      <c r="A117" s="1"/>
      <c r="B117" s="266"/>
      <c r="C117" s="267"/>
      <c r="D117" s="268"/>
      <c r="E117" s="268"/>
      <c r="F117" s="260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0"/>
      <c r="S117" s="260"/>
      <c r="T117" s="260"/>
      <c r="U117" s="268"/>
      <c r="V117" s="260"/>
      <c r="W117" s="260"/>
      <c r="X117" s="260"/>
      <c r="Y117" s="260"/>
      <c r="Z117" s="260"/>
      <c r="AA117" s="265"/>
      <c r="AB117" s="47"/>
    </row>
    <row r="118" spans="1:28" ht="27" customHeight="1">
      <c r="A118" s="1"/>
      <c r="B118" s="243"/>
      <c r="C118" s="255"/>
      <c r="D118" s="431" t="s">
        <v>158</v>
      </c>
      <c r="E118" s="256"/>
      <c r="F118" s="249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49"/>
      <c r="S118" s="249"/>
      <c r="T118" s="249"/>
      <c r="U118" s="14"/>
      <c r="V118" s="15"/>
      <c r="W118" s="15"/>
      <c r="X118" s="15"/>
      <c r="Y118" s="15"/>
      <c r="Z118" s="15"/>
      <c r="AA118" s="253"/>
      <c r="AB118" s="47"/>
    </row>
    <row r="119" spans="1:28" ht="13.5" customHeight="1">
      <c r="A119" s="1"/>
      <c r="B119" s="244"/>
      <c r="C119" s="2"/>
      <c r="D119" s="2"/>
      <c r="E119" s="2"/>
      <c r="F119" s="2"/>
      <c r="G119" s="137"/>
      <c r="H119" s="137"/>
      <c r="I119" s="137"/>
      <c r="J119" s="137"/>
      <c r="K119" s="137"/>
      <c r="L119" s="136"/>
      <c r="M119" s="136"/>
      <c r="N119" s="137"/>
      <c r="O119" s="136"/>
      <c r="P119" s="136"/>
      <c r="Q119" s="136"/>
      <c r="R119" s="2"/>
      <c r="S119" s="2"/>
      <c r="T119" s="2"/>
      <c r="U119" s="2"/>
      <c r="V119" s="2"/>
      <c r="W119" s="2"/>
      <c r="X119" s="2"/>
      <c r="Y119" s="2"/>
      <c r="Z119" s="2"/>
      <c r="AA119" s="244"/>
      <c r="AB119" s="47"/>
    </row>
    <row r="120" spans="1:28" ht="13.5" customHeight="1">
      <c r="A120" s="1"/>
      <c r="B120" s="245"/>
      <c r="C120" s="3"/>
      <c r="D120" s="3" t="s">
        <v>0</v>
      </c>
      <c r="E120" s="3"/>
      <c r="F120" s="26"/>
      <c r="G120" s="140"/>
      <c r="H120" s="140"/>
      <c r="I120" s="140"/>
      <c r="J120" s="140"/>
      <c r="K120" s="140"/>
      <c r="L120" s="138"/>
      <c r="M120" s="139"/>
      <c r="N120" s="140"/>
      <c r="O120" s="138"/>
      <c r="P120" s="138"/>
      <c r="Q120" s="138"/>
      <c r="R120" s="26"/>
      <c r="S120" s="3"/>
      <c r="T120" s="26"/>
      <c r="U120" s="3"/>
      <c r="V120" s="26"/>
      <c r="W120" s="3"/>
      <c r="X120" s="3"/>
      <c r="Y120" s="3"/>
      <c r="Z120" s="3"/>
      <c r="AA120" s="244"/>
      <c r="AB120" s="47"/>
    </row>
    <row r="121" spans="1:28" ht="13.5" customHeight="1" hidden="1">
      <c r="A121" s="1"/>
      <c r="B121" s="245"/>
      <c r="C121" s="4" t="str">
        <f aca="true" t="shared" si="22" ref="C121:C130">"IWMTOTAL – Income statement – "&amp;D121</f>
        <v>IWMTOTAL – Income statement – Net interest income</v>
      </c>
      <c r="D121" s="218" t="s">
        <v>194</v>
      </c>
      <c r="E121" s="290"/>
      <c r="F121" s="33"/>
      <c r="G121" s="170"/>
      <c r="H121" s="170"/>
      <c r="I121" s="170"/>
      <c r="J121" s="170"/>
      <c r="K121" s="170"/>
      <c r="L121" s="170">
        <f>IF(ISERROR(L145),"–",L145)</f>
      </c>
      <c r="M121" s="142"/>
      <c r="N121" s="170">
        <v>1006</v>
      </c>
      <c r="O121" s="170">
        <f>IF(ISERROR(O145),"–",O145)</f>
      </c>
      <c r="P121" s="170">
        <f>IF(ISERROR(P145),"–",P145)</f>
      </c>
      <c r="Q121" s="170">
        <f>IF(ISERROR(Q145),"–",Q145)</f>
      </c>
      <c r="R121" s="33"/>
      <c r="S121" s="45"/>
      <c r="T121" s="33"/>
      <c r="U121" s="38" t="s">
        <v>26</v>
      </c>
      <c r="V121" s="33"/>
      <c r="W121" s="37">
        <f aca="true" t="shared" si="23" ref="W121:W129">IF(L121="–",0,IF($U121="Positive Number",IF(OR(L121&lt;0,ISTEXT(L121),ISERROR(L121)),1,0),IF(OR(ISTEXT(L121),ISERROR(L121)),1,0)))</f>
        <v>1</v>
      </c>
      <c r="X121" s="57">
        <f aca="true" t="shared" si="24" ref="X121:Z124">IF(O121="–",0,IF($U121="Positive Number",IF(OR(O121&lt;0,ISTEXT(O121),ISERROR(O121)),1,0),IF(OR(ISTEXT(O121),ISERROR(O121)),1,0)))</f>
        <v>1</v>
      </c>
      <c r="Y121" s="57">
        <f t="shared" si="24"/>
        <v>1</v>
      </c>
      <c r="Z121" s="57">
        <f t="shared" si="24"/>
        <v>1</v>
      </c>
      <c r="AA121" s="254"/>
      <c r="AB121" s="47"/>
    </row>
    <row r="122" spans="1:28" ht="13.5" customHeight="1" hidden="1">
      <c r="A122" s="1"/>
      <c r="B122" s="245"/>
      <c r="C122" s="4" t="str">
        <f t="shared" si="22"/>
        <v>IWMTOTAL – Income statement – Recurring commissions and fees</v>
      </c>
      <c r="D122" s="218" t="s">
        <v>140</v>
      </c>
      <c r="E122" s="290"/>
      <c r="F122" s="33"/>
      <c r="G122" s="145"/>
      <c r="H122" s="145"/>
      <c r="I122" s="145"/>
      <c r="J122" s="145"/>
      <c r="K122" s="145"/>
      <c r="L122" s="170" t="str">
        <f aca="true" t="shared" si="25" ref="L122:L129">IF(ISERROR(L146+L179),"–",L146+L179)</f>
        <v>–</v>
      </c>
      <c r="M122" s="156"/>
      <c r="N122" s="145">
        <v>1965</v>
      </c>
      <c r="O122" s="170" t="str">
        <f aca="true" t="shared" si="26" ref="O122:O129">IF(ISERROR(O146+O179),"–",O146+O179)</f>
        <v>–</v>
      </c>
      <c r="P122" s="170" t="str">
        <f aca="true" t="shared" si="27" ref="P122:Q129">IF(ISERROR(P146+P179),"–",P146+P179)</f>
        <v>–</v>
      </c>
      <c r="Q122" s="170" t="str">
        <f t="shared" si="27"/>
        <v>–</v>
      </c>
      <c r="R122" s="33"/>
      <c r="S122" s="45"/>
      <c r="T122" s="33"/>
      <c r="U122" s="38" t="s">
        <v>26</v>
      </c>
      <c r="V122" s="33"/>
      <c r="W122" s="37">
        <f t="shared" si="23"/>
        <v>0</v>
      </c>
      <c r="X122" s="57">
        <f t="shared" si="24"/>
        <v>0</v>
      </c>
      <c r="Y122" s="57">
        <f t="shared" si="24"/>
        <v>0</v>
      </c>
      <c r="Z122" s="57">
        <f t="shared" si="24"/>
        <v>0</v>
      </c>
      <c r="AA122" s="254"/>
      <c r="AB122" s="47"/>
    </row>
    <row r="123" spans="1:28" ht="13.5" customHeight="1" hidden="1">
      <c r="A123" s="1"/>
      <c r="B123" s="245"/>
      <c r="C123" s="4" t="str">
        <f t="shared" si="22"/>
        <v>IWMTOTAL – Income statement – Transaction and performance-based revenues</v>
      </c>
      <c r="D123" s="218" t="s">
        <v>141</v>
      </c>
      <c r="E123" s="290"/>
      <c r="F123" s="33"/>
      <c r="G123" s="145"/>
      <c r="H123" s="145"/>
      <c r="I123" s="145"/>
      <c r="J123" s="145"/>
      <c r="K123" s="145"/>
      <c r="L123" s="170" t="str">
        <f t="shared" si="25"/>
        <v>–</v>
      </c>
      <c r="M123" s="156"/>
      <c r="N123" s="145">
        <v>1449</v>
      </c>
      <c r="O123" s="170" t="str">
        <f t="shared" si="26"/>
        <v>–</v>
      </c>
      <c r="P123" s="170" t="str">
        <f t="shared" si="27"/>
        <v>–</v>
      </c>
      <c r="Q123" s="170" t="str">
        <f t="shared" si="27"/>
        <v>–</v>
      </c>
      <c r="R123" s="33"/>
      <c r="S123" s="45"/>
      <c r="T123" s="33"/>
      <c r="U123" s="38" t="s">
        <v>26</v>
      </c>
      <c r="V123" s="33"/>
      <c r="W123" s="37">
        <f t="shared" si="23"/>
        <v>0</v>
      </c>
      <c r="X123" s="57">
        <f t="shared" si="24"/>
        <v>0</v>
      </c>
      <c r="Y123" s="57">
        <f t="shared" si="24"/>
        <v>0</v>
      </c>
      <c r="Z123" s="57">
        <f t="shared" si="24"/>
        <v>0</v>
      </c>
      <c r="AA123" s="254"/>
      <c r="AB123" s="47"/>
    </row>
    <row r="124" spans="1:28" s="207" customFormat="1" ht="13.5" customHeight="1" hidden="1">
      <c r="A124" s="1"/>
      <c r="B124" s="245"/>
      <c r="C124" s="4" t="str">
        <f t="shared" si="22"/>
        <v>IWMTOTAL – Income statement – Other revenues</v>
      </c>
      <c r="D124" s="218" t="s">
        <v>136</v>
      </c>
      <c r="E124" s="290"/>
      <c r="F124" s="33"/>
      <c r="G124" s="145"/>
      <c r="H124" s="145"/>
      <c r="I124" s="145"/>
      <c r="J124" s="145"/>
      <c r="K124" s="145"/>
      <c r="L124" s="170" t="str">
        <f t="shared" si="25"/>
        <v>–</v>
      </c>
      <c r="M124" s="156"/>
      <c r="N124" s="145">
        <v>-26</v>
      </c>
      <c r="O124" s="170" t="str">
        <f t="shared" si="26"/>
        <v>–</v>
      </c>
      <c r="P124" s="170" t="str">
        <f t="shared" si="27"/>
        <v>–</v>
      </c>
      <c r="Q124" s="170" t="str">
        <f t="shared" si="27"/>
        <v>–</v>
      </c>
      <c r="R124" s="33"/>
      <c r="S124" s="45"/>
      <c r="T124" s="33"/>
      <c r="U124" s="237" t="s">
        <v>26</v>
      </c>
      <c r="V124" s="33"/>
      <c r="W124" s="238">
        <f t="shared" si="23"/>
        <v>0</v>
      </c>
      <c r="X124" s="239">
        <f t="shared" si="24"/>
        <v>0</v>
      </c>
      <c r="Y124" s="239">
        <f t="shared" si="24"/>
        <v>0</v>
      </c>
      <c r="Z124" s="239">
        <f t="shared" si="24"/>
        <v>0</v>
      </c>
      <c r="AA124" s="244"/>
      <c r="AB124" s="47"/>
    </row>
    <row r="125" spans="1:28" ht="13.5" customHeight="1">
      <c r="A125" s="1"/>
      <c r="B125" s="245"/>
      <c r="C125" s="4" t="str">
        <f t="shared" si="22"/>
        <v>IWMTOTAL – Income statement – Net revenues</v>
      </c>
      <c r="D125" s="288" t="s">
        <v>1</v>
      </c>
      <c r="E125" s="289"/>
      <c r="F125" s="33"/>
      <c r="G125" s="145">
        <f aca="true" t="shared" si="28" ref="G125:H129">IF(ISERROR(G149+G182),"–",G149+G182)</f>
        <v>1221</v>
      </c>
      <c r="H125" s="145">
        <f t="shared" si="28"/>
        <v>1264</v>
      </c>
      <c r="I125" s="145">
        <f aca="true" t="shared" si="29" ref="I125:J129">IF(ISERROR(I149+I182),"–",I149+I182)</f>
        <v>1262</v>
      </c>
      <c r="J125" s="145">
        <f t="shared" si="29"/>
        <v>1364</v>
      </c>
      <c r="K125" s="145">
        <f>IF(ISERROR(K149+K182),"–",K149+K182)</f>
        <v>1403</v>
      </c>
      <c r="L125" s="277" t="str">
        <f t="shared" si="25"/>
        <v>–</v>
      </c>
      <c r="M125" s="142"/>
      <c r="N125" s="145">
        <f>IF(ISERROR(N149+N182),"–",N149+N182)</f>
        <v>5111</v>
      </c>
      <c r="O125" s="277" t="str">
        <f t="shared" si="26"/>
        <v>–</v>
      </c>
      <c r="P125" s="277" t="str">
        <f t="shared" si="27"/>
        <v>–</v>
      </c>
      <c r="Q125" s="277" t="str">
        <f t="shared" si="27"/>
        <v>–</v>
      </c>
      <c r="R125" s="33"/>
      <c r="S125" s="45"/>
      <c r="T125" s="33"/>
      <c r="U125" s="38" t="s">
        <v>25</v>
      </c>
      <c r="V125" s="27"/>
      <c r="W125" s="37">
        <f t="shared" si="23"/>
        <v>0</v>
      </c>
      <c r="X125" s="57">
        <f aca="true" t="shared" si="30" ref="X125:Z128">IF(O125="–",0,IF($U125="Positive Number",IF(OR(O125&lt;0,ISTEXT(O125),ISERROR(O125)),1,0),IF(OR(ISTEXT(O125),ISERROR(O125)),1,0)))</f>
        <v>0</v>
      </c>
      <c r="Y125" s="57">
        <f t="shared" si="30"/>
        <v>0</v>
      </c>
      <c r="Z125" s="57">
        <f t="shared" si="30"/>
        <v>0</v>
      </c>
      <c r="AA125" s="244"/>
      <c r="AB125" s="47"/>
    </row>
    <row r="126" spans="1:28" ht="13.5" customHeight="1">
      <c r="A126" s="10"/>
      <c r="B126" s="245"/>
      <c r="C126" s="4" t="str">
        <f t="shared" si="22"/>
        <v>IWMTOTAL – Income statement – Provision for credit losses</v>
      </c>
      <c r="D126" s="288" t="s">
        <v>5</v>
      </c>
      <c r="E126" s="289"/>
      <c r="F126" s="33"/>
      <c r="G126" s="145">
        <f t="shared" si="28"/>
        <v>2</v>
      </c>
      <c r="H126" s="145">
        <f t="shared" si="28"/>
        <v>8</v>
      </c>
      <c r="I126" s="145">
        <f t="shared" si="29"/>
        <v>3</v>
      </c>
      <c r="J126" s="145">
        <f t="shared" si="29"/>
        <v>14</v>
      </c>
      <c r="K126" s="145">
        <f>IF(ISERROR(K150+K183),"–",K150+K183)</f>
        <v>-1</v>
      </c>
      <c r="L126" s="277" t="str">
        <f t="shared" si="25"/>
        <v>–</v>
      </c>
      <c r="M126" s="142"/>
      <c r="N126" s="145">
        <f>IF(ISERROR(N150+N183),"–",N150+N183)</f>
        <v>27</v>
      </c>
      <c r="O126" s="277" t="str">
        <f t="shared" si="26"/>
        <v>–</v>
      </c>
      <c r="P126" s="277" t="str">
        <f t="shared" si="27"/>
        <v>–</v>
      </c>
      <c r="Q126" s="277" t="str">
        <f t="shared" si="27"/>
        <v>–</v>
      </c>
      <c r="R126" s="33"/>
      <c r="S126" s="45"/>
      <c r="T126" s="33"/>
      <c r="U126" s="38" t="s">
        <v>26</v>
      </c>
      <c r="V126" s="27"/>
      <c r="W126" s="37">
        <f t="shared" si="23"/>
        <v>0</v>
      </c>
      <c r="X126" s="57">
        <f t="shared" si="30"/>
        <v>0</v>
      </c>
      <c r="Y126" s="57">
        <f t="shared" si="30"/>
        <v>0</v>
      </c>
      <c r="Z126" s="57">
        <f t="shared" si="30"/>
        <v>0</v>
      </c>
      <c r="AA126" s="244"/>
      <c r="AB126" s="64"/>
    </row>
    <row r="127" spans="1:28" s="207" customFormat="1" ht="13.5" customHeight="1">
      <c r="A127" s="1"/>
      <c r="B127" s="245"/>
      <c r="C127" s="4" t="str">
        <f t="shared" si="22"/>
        <v>IWMTOTAL – Income statement – Compensation and benefits</v>
      </c>
      <c r="D127" s="76" t="s">
        <v>6</v>
      </c>
      <c r="E127" s="84"/>
      <c r="F127" s="33"/>
      <c r="G127" s="276">
        <f t="shared" si="28"/>
        <v>571</v>
      </c>
      <c r="H127" s="276">
        <f t="shared" si="28"/>
        <v>573</v>
      </c>
      <c r="I127" s="276">
        <f t="shared" si="29"/>
        <v>559</v>
      </c>
      <c r="J127" s="276">
        <f t="shared" si="29"/>
        <v>575</v>
      </c>
      <c r="K127" s="276">
        <f>IF(ISERROR(K151+K184),"–",K151+K184)</f>
        <v>587</v>
      </c>
      <c r="L127" s="276" t="str">
        <f t="shared" si="25"/>
        <v>–</v>
      </c>
      <c r="M127" s="142"/>
      <c r="N127" s="276">
        <f>IF(ISERROR(N151+N184),"–",N151+N184)</f>
        <v>2216</v>
      </c>
      <c r="O127" s="276" t="str">
        <f t="shared" si="26"/>
        <v>–</v>
      </c>
      <c r="P127" s="276" t="str">
        <f t="shared" si="27"/>
        <v>–</v>
      </c>
      <c r="Q127" s="276" t="str">
        <f t="shared" si="27"/>
        <v>–</v>
      </c>
      <c r="R127" s="33"/>
      <c r="S127" s="45"/>
      <c r="T127" s="33"/>
      <c r="U127" s="237" t="s">
        <v>25</v>
      </c>
      <c r="V127" s="33"/>
      <c r="W127" s="238">
        <f t="shared" si="23"/>
        <v>0</v>
      </c>
      <c r="X127" s="239">
        <f t="shared" si="30"/>
        <v>0</v>
      </c>
      <c r="Y127" s="239">
        <f t="shared" si="30"/>
        <v>0</v>
      </c>
      <c r="Z127" s="239">
        <f t="shared" si="30"/>
        <v>0</v>
      </c>
      <c r="AA127" s="244"/>
      <c r="AB127" s="47"/>
    </row>
    <row r="128" spans="1:28" s="207" customFormat="1" ht="13.5" customHeight="1">
      <c r="A128" s="1"/>
      <c r="B128" s="245"/>
      <c r="C128" s="4" t="str">
        <f t="shared" si="22"/>
        <v>IWMTOTAL – Income statement – Total other operating expenses</v>
      </c>
      <c r="D128" s="76" t="s">
        <v>137</v>
      </c>
      <c r="E128" s="84"/>
      <c r="F128" s="33"/>
      <c r="G128" s="276">
        <f t="shared" si="28"/>
        <v>357</v>
      </c>
      <c r="H128" s="276">
        <f t="shared" si="28"/>
        <v>318</v>
      </c>
      <c r="I128" s="276">
        <f t="shared" si="29"/>
        <v>345</v>
      </c>
      <c r="J128" s="276">
        <f t="shared" si="29"/>
        <v>435</v>
      </c>
      <c r="K128" s="276">
        <f>IF(ISERROR(K152+K185),"–",K152+K185)</f>
        <v>333</v>
      </c>
      <c r="L128" s="276" t="str">
        <f t="shared" si="25"/>
        <v>–</v>
      </c>
      <c r="M128" s="142"/>
      <c r="N128" s="276">
        <f>IF(ISERROR(N152+N185),"–",N152+N185)</f>
        <v>1517</v>
      </c>
      <c r="O128" s="276" t="str">
        <f t="shared" si="26"/>
        <v>–</v>
      </c>
      <c r="P128" s="276" t="str">
        <f t="shared" si="27"/>
        <v>–</v>
      </c>
      <c r="Q128" s="276" t="str">
        <f t="shared" si="27"/>
        <v>–</v>
      </c>
      <c r="R128" s="33"/>
      <c r="S128" s="45"/>
      <c r="T128" s="33"/>
      <c r="U128" s="237" t="s">
        <v>25</v>
      </c>
      <c r="V128" s="33"/>
      <c r="W128" s="238">
        <f t="shared" si="23"/>
        <v>0</v>
      </c>
      <c r="X128" s="239">
        <f t="shared" si="30"/>
        <v>0</v>
      </c>
      <c r="Y128" s="239">
        <f t="shared" si="30"/>
        <v>0</v>
      </c>
      <c r="Z128" s="239">
        <f t="shared" si="30"/>
        <v>0</v>
      </c>
      <c r="AA128" s="244"/>
      <c r="AB128" s="47"/>
    </row>
    <row r="129" spans="1:28" ht="13.5" customHeight="1">
      <c r="A129" s="1"/>
      <c r="B129" s="245"/>
      <c r="C129" s="4" t="str">
        <f t="shared" si="22"/>
        <v>IWMTOTAL – Income statement – Total operating expenses</v>
      </c>
      <c r="D129" s="288" t="s">
        <v>7</v>
      </c>
      <c r="E129" s="289"/>
      <c r="F129" s="33"/>
      <c r="G129" s="145">
        <f t="shared" si="28"/>
        <v>928</v>
      </c>
      <c r="H129" s="145">
        <f t="shared" si="28"/>
        <v>891</v>
      </c>
      <c r="I129" s="145">
        <f t="shared" si="29"/>
        <v>904</v>
      </c>
      <c r="J129" s="145">
        <f t="shared" si="29"/>
        <v>1010</v>
      </c>
      <c r="K129" s="145">
        <f>IF(ISERROR(K153+K186),"–",K153+K186)</f>
        <v>920</v>
      </c>
      <c r="L129" s="277" t="str">
        <f t="shared" si="25"/>
        <v>–</v>
      </c>
      <c r="M129" s="142"/>
      <c r="N129" s="145">
        <f>IF(ISERROR(N153+N186),"–",N153+N186)</f>
        <v>3733</v>
      </c>
      <c r="O129" s="277" t="str">
        <f t="shared" si="26"/>
        <v>–</v>
      </c>
      <c r="P129" s="277" t="str">
        <f t="shared" si="27"/>
        <v>–</v>
      </c>
      <c r="Q129" s="277" t="str">
        <f t="shared" si="27"/>
        <v>–</v>
      </c>
      <c r="R129" s="33"/>
      <c r="S129" s="45"/>
      <c r="T129" s="33"/>
      <c r="U129" s="38" t="s">
        <v>26</v>
      </c>
      <c r="V129" s="27"/>
      <c r="W129" s="37">
        <f t="shared" si="23"/>
        <v>0</v>
      </c>
      <c r="X129" s="57">
        <f>IF(O129="–",0,IF($U129="Positive Number",IF(OR(O129&lt;0,ISTEXT(O129),ISERROR(O129)),1,0),IF(OR(ISTEXT(O129),ISERROR(O129)),1,0)))</f>
        <v>0</v>
      </c>
      <c r="Y129" s="57">
        <f>IF(P129="–",0,IF($U129="Positive Number",IF(OR(P129&lt;0,ISTEXT(P129),ISERROR(P129)),1,0),IF(OR(ISTEXT(P129),ISERROR(P129)),1,0)))</f>
        <v>0</v>
      </c>
      <c r="Z129" s="57">
        <f>IF(Q129="–",0,IF($U129="Positive Number",IF(OR(Q129&lt;0,ISTEXT(Q129),ISERROR(Q129)),1,0),IF(OR(ISTEXT(Q129),ISERROR(Q129)),1,0)))</f>
        <v>0</v>
      </c>
      <c r="AA129" s="244"/>
      <c r="AB129" s="47"/>
    </row>
    <row r="130" spans="1:28" ht="13.5" customHeight="1">
      <c r="A130" s="1"/>
      <c r="B130" s="245"/>
      <c r="C130" s="4" t="str">
        <f t="shared" si="22"/>
        <v>IWMTOTAL – Income statement – Income from continuing operations before taxes</v>
      </c>
      <c r="D130" s="75" t="s">
        <v>8</v>
      </c>
      <c r="E130" s="83"/>
      <c r="F130" s="33"/>
      <c r="G130" s="145">
        <f>IF(ISERROR(G125-G126-G129),"–",G125-G126-G129)</f>
        <v>291</v>
      </c>
      <c r="H130" s="145">
        <f>IF(ISERROR(H125-H126-H129),"–",H125-H126-H129)</f>
        <v>365</v>
      </c>
      <c r="I130" s="145">
        <f>IF(ISERROR(I125-I126-I129),"–",I125-I126-I129)</f>
        <v>355</v>
      </c>
      <c r="J130" s="145">
        <f>IF(ISERROR(J125-J126-J129),"–",J125-J126-J129)</f>
        <v>340</v>
      </c>
      <c r="K130" s="145">
        <f>IF(ISERROR(K125-K126-K129),"–",K125-K126-K129)</f>
        <v>484</v>
      </c>
      <c r="L130" s="274" t="str">
        <f>IF(ISERROR(L125-L126-L129),"–",L125-L126-L129)</f>
        <v>–</v>
      </c>
      <c r="M130" s="142"/>
      <c r="N130" s="145">
        <f>IF(ISERROR(N125-N126-N129),"–",N125-N126-N129)</f>
        <v>1351</v>
      </c>
      <c r="O130" s="274" t="str">
        <f>IF(ISERROR(O125-O126-O129),"–",O125-O126-O129)</f>
        <v>–</v>
      </c>
      <c r="P130" s="274" t="str">
        <f>IF(ISERROR(P125-P126-P129),"–",P125-P126-P129)</f>
        <v>–</v>
      </c>
      <c r="Q130" s="274" t="str">
        <f>IF(ISERROR(Q125-Q126-Q129),"–",Q125-Q126-Q129)</f>
        <v>–</v>
      </c>
      <c r="R130" s="33"/>
      <c r="S130" s="45"/>
      <c r="T130" s="33"/>
      <c r="U130" s="4"/>
      <c r="V130" s="33"/>
      <c r="W130" s="5"/>
      <c r="X130" s="54"/>
      <c r="Y130" s="54"/>
      <c r="Z130" s="54"/>
      <c r="AA130" s="244"/>
      <c r="AB130" s="47"/>
    </row>
    <row r="131" spans="1:28" ht="13.5" customHeight="1">
      <c r="A131" s="1"/>
      <c r="B131" s="245"/>
      <c r="C131" s="6"/>
      <c r="D131" s="7"/>
      <c r="E131" s="7"/>
      <c r="F131" s="33"/>
      <c r="G131" s="8"/>
      <c r="H131" s="8"/>
      <c r="I131" s="8"/>
      <c r="J131" s="8"/>
      <c r="K131" s="8"/>
      <c r="L131" s="8"/>
      <c r="M131" s="142"/>
      <c r="N131" s="8"/>
      <c r="O131" s="8"/>
      <c r="P131" s="8"/>
      <c r="Q131" s="8"/>
      <c r="R131" s="33"/>
      <c r="S131" s="8"/>
      <c r="T131" s="33"/>
      <c r="U131" s="6"/>
      <c r="V131" s="33"/>
      <c r="W131" s="8"/>
      <c r="X131" s="8"/>
      <c r="Y131" s="8"/>
      <c r="Z131" s="8"/>
      <c r="AA131" s="244"/>
      <c r="AB131" s="47"/>
    </row>
    <row r="132" spans="1:28" ht="13.5" customHeight="1" hidden="1">
      <c r="A132" s="1"/>
      <c r="B132" s="245"/>
      <c r="C132" s="4" t="str">
        <f>"IWMTOTAL – Income statement – "&amp;D132</f>
        <v>IWMTOTAL – Income statement – Compensation ratio (%)</v>
      </c>
      <c r="D132" s="82" t="s">
        <v>9</v>
      </c>
      <c r="E132" s="91"/>
      <c r="F132" s="33"/>
      <c r="G132" s="151">
        <f>IF(ISERROR(G127/G125),"–",IF(ABS(G127/G125*100)&gt;NM,"–",G127/G125*100))</f>
        <v>46.764946764946764</v>
      </c>
      <c r="H132" s="151">
        <f>IF(ISERROR(H127/H125),"–",IF(ABS(H127/H125*100)&gt;NM,"–",H127/H125*100))</f>
        <v>45.33227848101266</v>
      </c>
      <c r="I132" s="151">
        <f>IF(ISERROR(I127/I125),"–",IF(ABS(I127/I125*100)&gt;NM,"–",I127/I125*100))</f>
        <v>44.294770206022186</v>
      </c>
      <c r="J132" s="151">
        <f>IF(ISERROR(J127/J125),"–",IF(ABS(J127/J125*100)&gt;NM,"–",J127/J125*100))</f>
        <v>42.15542521994135</v>
      </c>
      <c r="K132" s="151">
        <f>IF(ISERROR(K127/K125),"–",IF(ABS(K127/K125*100)&gt;NM,"–",K127/K125*100))</f>
        <v>41.838916607270136</v>
      </c>
      <c r="L132" s="151" t="str">
        <f>IF(ISERROR(L127/L125),"–",IF(ABS(L127/L125*100)&gt;NM,"–",L127/L125*100))</f>
        <v>–</v>
      </c>
      <c r="M132" s="142"/>
      <c r="N132" s="151">
        <f>IF(ISERROR(N127/N125),"–",IF(ABS(N127/N125*100)&gt;NM,"–",N127/N125*100))</f>
        <v>43.35746429270201</v>
      </c>
      <c r="O132" s="151" t="str">
        <f>IF(ISERROR(O127/O125),"–",IF(ABS(O127/O125*100)&gt;NM,"–",O127/O125*100))</f>
        <v>–</v>
      </c>
      <c r="P132" s="151" t="str">
        <f>IF(ISERROR(P127/P125),"–",IF(ABS(P127/P125*100)&gt;NM,"–",P127/P125*100))</f>
        <v>–</v>
      </c>
      <c r="Q132" s="151" t="str">
        <f>IF(ISERROR(Q127/Q125),"–",IF(ABS(Q127/Q125*100)&gt;NM,"–",Q127/Q125*100))</f>
        <v>–</v>
      </c>
      <c r="R132" s="33"/>
      <c r="S132" s="45"/>
      <c r="T132" s="33"/>
      <c r="U132" s="4"/>
      <c r="V132" s="33"/>
      <c r="W132" s="12"/>
      <c r="X132" s="58"/>
      <c r="Y132" s="58"/>
      <c r="Z132" s="58"/>
      <c r="AA132" s="244"/>
      <c r="AB132" s="47"/>
    </row>
    <row r="133" spans="1:28" ht="13.5" customHeight="1" hidden="1">
      <c r="A133" s="1"/>
      <c r="B133" s="245"/>
      <c r="C133" s="4" t="str">
        <f>"IWMTOTAL – Income statement – "&amp;D133</f>
        <v>IWMTOTAL – Income statement – Non-compensation ratio (%)</v>
      </c>
      <c r="D133" s="82" t="s">
        <v>10</v>
      </c>
      <c r="E133" s="91"/>
      <c r="F133" s="33"/>
      <c r="G133" s="151">
        <f>IF(ISERROR(G128/G125),"–",IF(ABS(G128/G125*100)&gt;NM,"–",G128/G125*100))</f>
        <v>29.238329238329236</v>
      </c>
      <c r="H133" s="151">
        <f>IF(ISERROR(H128/H125),"–",IF(ABS(H128/H125*100)&gt;NM,"–",H128/H125*100))</f>
        <v>25.158227848101266</v>
      </c>
      <c r="I133" s="151">
        <f>IF(ISERROR(I128/I125),"–",IF(ABS(I128/I125*100)&gt;NM,"–",I128/I125*100))</f>
        <v>27.33755942947702</v>
      </c>
      <c r="J133" s="151">
        <f>IF(ISERROR(J128/J125),"–",IF(ABS(J128/J125*100)&gt;NM,"–",J128/J125*100))</f>
        <v>31.89149560117302</v>
      </c>
      <c r="K133" s="151">
        <f>IF(ISERROR(K128/K125),"–",IF(ABS(K128/K125*100)&gt;NM,"–",K128/K125*100))</f>
        <v>23.734853884533145</v>
      </c>
      <c r="L133" s="151" t="str">
        <f>IF(ISERROR(L128/L125),"–",IF(ABS(L128/L125*100)&gt;NM,"–",L128/L125*100))</f>
        <v>–</v>
      </c>
      <c r="M133" s="142"/>
      <c r="N133" s="151">
        <f>IF(ISERROR(N128/N125),"–",IF(ABS(N128/N125*100)&gt;NM,"–",N128/N125*100))</f>
        <v>29.681080023478774</v>
      </c>
      <c r="O133" s="151" t="str">
        <f>IF(ISERROR(O128/O125),"–",IF(ABS(O128/O125*100)&gt;NM,"–",O128/O125*100))</f>
        <v>–</v>
      </c>
      <c r="P133" s="151" t="str">
        <f>IF(ISERROR(P128/P125),"–",IF(ABS(P128/P125*100)&gt;NM,"–",P128/P125*100))</f>
        <v>–</v>
      </c>
      <c r="Q133" s="151" t="str">
        <f>IF(ISERROR(Q128/Q125),"–",IF(ABS(Q128/Q125*100)&gt;NM,"–",Q128/Q125*100))</f>
        <v>–</v>
      </c>
      <c r="R133" s="33"/>
      <c r="S133" s="45"/>
      <c r="T133" s="33"/>
      <c r="U133" s="4"/>
      <c r="V133" s="33"/>
      <c r="W133" s="12"/>
      <c r="X133" s="58"/>
      <c r="Y133" s="58"/>
      <c r="Z133" s="58"/>
      <c r="AA133" s="244"/>
      <c r="AB133" s="47"/>
    </row>
    <row r="134" spans="1:28" ht="13.5" customHeight="1">
      <c r="A134" s="1"/>
      <c r="B134" s="245"/>
      <c r="C134" s="4" t="str">
        <f>"IWMTOTAL – Income statement – "&amp;D134</f>
        <v>IWMTOTAL – Income statement – Cost / income ratio (%)</v>
      </c>
      <c r="D134" s="77" t="s">
        <v>11</v>
      </c>
      <c r="E134" s="85"/>
      <c r="F134" s="33"/>
      <c r="G134" s="151">
        <f>IF(ISERROR(G129/G125),"–",IF(ABS(G129/G125*100)&gt;NM,"–",G129/G125*100))</f>
        <v>76.003276003276</v>
      </c>
      <c r="H134" s="151">
        <f>IF(ISERROR(H129/H125),"–",IF(ABS(H129/H125*100)&gt;NM,"–",H129/H125*100))</f>
        <v>70.49050632911393</v>
      </c>
      <c r="I134" s="151">
        <f>IF(ISERROR(I129/I125),"–",IF(ABS(I129/I125*100)&gt;NM,"–",I129/I125*100))</f>
        <v>71.6323296354992</v>
      </c>
      <c r="J134" s="151">
        <f>IF(ISERROR(J129/J125),"–",IF(ABS(J129/J125*100)&gt;NM,"–",J129/J125*100))</f>
        <v>74.04692082111437</v>
      </c>
      <c r="K134" s="151">
        <f>IF(ISERROR(K129/K125),"–",IF(ABS(K129/K125*100)&gt;NM,"–",K129/K125*100))</f>
        <v>65.57377049180327</v>
      </c>
      <c r="L134" s="151" t="str">
        <f>IF(ISERROR(L129/L125),"–",IF(ABS(L129/L125*100)&gt;NM,"–",L129/L125*100))</f>
        <v>–</v>
      </c>
      <c r="M134" s="142"/>
      <c r="N134" s="151">
        <f>IF(ISERROR(N129/N125),"–",IF(ABS(N129/N125*100)&gt;NM,"–",N129/N125*100))</f>
        <v>73.03854431618079</v>
      </c>
      <c r="O134" s="151" t="str">
        <f>IF(ISERROR(O129/O125),"–",IF(ABS(O129/O125*100)&gt;NM,"–",O129/O125*100))</f>
        <v>–</v>
      </c>
      <c r="P134" s="151" t="str">
        <f>IF(ISERROR(P129/P125),"–",IF(ABS(P129/P125*100)&gt;NM,"–",P129/P125*100))</f>
        <v>–</v>
      </c>
      <c r="Q134" s="151" t="str">
        <f>IF(ISERROR(Q129/Q125),"–",IF(ABS(Q129/Q125*100)&gt;NM,"–",Q129/Q125*100))</f>
        <v>–</v>
      </c>
      <c r="R134" s="33"/>
      <c r="S134" s="45"/>
      <c r="T134" s="33"/>
      <c r="U134" s="4"/>
      <c r="V134" s="33"/>
      <c r="W134" s="13"/>
      <c r="X134" s="59"/>
      <c r="Y134" s="59"/>
      <c r="Z134" s="59"/>
      <c r="AA134" s="244"/>
      <c r="AB134" s="47"/>
    </row>
    <row r="135" spans="1:28" ht="13.5" customHeight="1">
      <c r="A135" s="1"/>
      <c r="B135" s="245"/>
      <c r="C135" s="4" t="str">
        <f>"IWMTOTAL – Income statement – "&amp;D135</f>
        <v>IWMTOTAL – Income statement – Pre-tax income margin (%)</v>
      </c>
      <c r="D135" s="77" t="s">
        <v>12</v>
      </c>
      <c r="E135" s="85"/>
      <c r="F135" s="33"/>
      <c r="G135" s="151">
        <f>IF(ISERROR(G130/G125),"–",IF(ABS(G130/G125*100)&gt;NM,"–",G130/G125*100))</f>
        <v>23.832923832923832</v>
      </c>
      <c r="H135" s="151">
        <f>IF(ISERROR(H130/H125),"–",IF(ABS(H130/H125*100)&gt;NM,"–",H130/H125*100))</f>
        <v>28.87658227848101</v>
      </c>
      <c r="I135" s="151">
        <f>IF(ISERROR(I130/I125),"–",IF(ABS(I130/I125*100)&gt;NM,"–",I130/I125*100))</f>
        <v>28.129952456418383</v>
      </c>
      <c r="J135" s="151">
        <f>IF(ISERROR(J130/J125),"–",IF(ABS(J130/J125*100)&gt;NM,"–",J130/J125*100))</f>
        <v>24.926686217008797</v>
      </c>
      <c r="K135" s="151">
        <f>IF(ISERROR(K130/K125),"–",IF(ABS(K130/K125*100)&gt;NM,"–",K130/K125*100))</f>
        <v>34.49750534568781</v>
      </c>
      <c r="L135" s="151" t="str">
        <f>IF(ISERROR(L130/L125),"–",IF(ABS(L130/L125*100)&gt;NM,"–",L130/L125*100))</f>
        <v>–</v>
      </c>
      <c r="M135" s="142"/>
      <c r="N135" s="151">
        <f>IF(ISERROR(N130/N125),"–",IF(ABS(N130/N125*100)&gt;NM,"–",N130/N125*100))</f>
        <v>26.433183330072392</v>
      </c>
      <c r="O135" s="151" t="str">
        <f>IF(ISERROR(O130/O125),"–",IF(ABS(O130/O125*100)&gt;NM,"–",O130/O125*100))</f>
        <v>–</v>
      </c>
      <c r="P135" s="151" t="str">
        <f>IF(ISERROR(P130/P125),"–",IF(ABS(P130/P125*100)&gt;NM,"–",P130/P125*100))</f>
        <v>–</v>
      </c>
      <c r="Q135" s="151" t="str">
        <f>IF(ISERROR(Q130/Q125),"–",IF(ABS(Q130/Q125*100)&gt;NM,"–",Q130/Q125*100))</f>
        <v>–</v>
      </c>
      <c r="R135" s="33"/>
      <c r="S135" s="45"/>
      <c r="T135" s="31"/>
      <c r="U135" s="4"/>
      <c r="V135" s="40"/>
      <c r="W135" s="13"/>
      <c r="X135" s="59"/>
      <c r="Y135" s="59"/>
      <c r="Z135" s="59"/>
      <c r="AA135" s="244"/>
      <c r="AB135" s="47"/>
    </row>
    <row r="136" spans="1:28" ht="12.75" customHeight="1">
      <c r="A136" s="1"/>
      <c r="B136" s="246"/>
      <c r="C136" s="6"/>
      <c r="D136" s="7"/>
      <c r="E136" s="7"/>
      <c r="F136" s="33"/>
      <c r="G136" s="8"/>
      <c r="H136" s="8"/>
      <c r="I136" s="8"/>
      <c r="J136" s="8"/>
      <c r="K136" s="8"/>
      <c r="L136" s="8"/>
      <c r="M136" s="142"/>
      <c r="N136" s="8"/>
      <c r="O136" s="8"/>
      <c r="P136" s="8"/>
      <c r="Q136" s="8"/>
      <c r="R136" s="33"/>
      <c r="S136" s="8"/>
      <c r="T136" s="33"/>
      <c r="U136" s="2"/>
      <c r="V136" s="25"/>
      <c r="W136" s="2"/>
      <c r="X136" s="2"/>
      <c r="Y136" s="2"/>
      <c r="Z136" s="2"/>
      <c r="AA136" s="244"/>
      <c r="AB136" s="47"/>
    </row>
    <row r="137" spans="1:28" ht="13.5" customHeight="1">
      <c r="A137" s="1"/>
      <c r="B137" s="246"/>
      <c r="C137" s="2"/>
      <c r="D137" s="2"/>
      <c r="E137" s="2"/>
      <c r="F137" s="25"/>
      <c r="G137" s="137"/>
      <c r="H137" s="137"/>
      <c r="I137" s="137"/>
      <c r="J137" s="137"/>
      <c r="K137" s="137"/>
      <c r="L137" s="136"/>
      <c r="M137" s="159"/>
      <c r="N137" s="137"/>
      <c r="O137" s="136"/>
      <c r="P137" s="136"/>
      <c r="Q137" s="136"/>
      <c r="R137" s="25"/>
      <c r="S137" s="2"/>
      <c r="T137" s="25"/>
      <c r="U137" s="2"/>
      <c r="V137" s="25"/>
      <c r="W137" s="2"/>
      <c r="X137" s="2"/>
      <c r="Y137" s="2"/>
      <c r="Z137" s="2"/>
      <c r="AA137" s="244"/>
      <c r="AB137" s="47"/>
    </row>
    <row r="138" spans="1:28" ht="13.5" customHeight="1">
      <c r="A138" s="1"/>
      <c r="B138" s="246"/>
      <c r="C138" s="3"/>
      <c r="D138" s="3" t="s">
        <v>160</v>
      </c>
      <c r="E138" s="3"/>
      <c r="F138" s="26"/>
      <c r="G138" s="140"/>
      <c r="H138" s="140"/>
      <c r="I138" s="140"/>
      <c r="J138" s="140"/>
      <c r="K138" s="140"/>
      <c r="L138" s="138"/>
      <c r="M138" s="139"/>
      <c r="N138" s="140"/>
      <c r="O138" s="138"/>
      <c r="P138" s="138"/>
      <c r="Q138" s="138"/>
      <c r="R138" s="26"/>
      <c r="S138" s="3"/>
      <c r="T138" s="26"/>
      <c r="U138" s="3"/>
      <c r="V138" s="26"/>
      <c r="W138" s="3"/>
      <c r="X138" s="3"/>
      <c r="Y138" s="3"/>
      <c r="Z138" s="3"/>
      <c r="AA138" s="244"/>
      <c r="AB138" s="47"/>
    </row>
    <row r="139" spans="1:28" s="207" customFormat="1" ht="13.5" customHeight="1">
      <c r="A139" s="1"/>
      <c r="B139" s="245"/>
      <c r="C139" s="4" t="str">
        <f>"IWMTOTAL – Assets under management – "&amp;D139</f>
        <v>IWMTOTAL – Assets under management – Risk-weighted assets – look-through (CHF million)</v>
      </c>
      <c r="D139" s="292" t="s">
        <v>162</v>
      </c>
      <c r="E139" s="292"/>
      <c r="F139" s="30"/>
      <c r="G139" s="281">
        <v>35794</v>
      </c>
      <c r="H139" s="281">
        <v>36515</v>
      </c>
      <c r="I139" s="281">
        <v>37217</v>
      </c>
      <c r="J139" s="281">
        <v>38256</v>
      </c>
      <c r="K139" s="281">
        <v>37580</v>
      </c>
      <c r="L139" s="141">
        <f>IF(L$27="No","–",IF(INDEX(CS_CONS_LINK_ARRAY,MATCH($C139,CS_CONS_LINK_COLUMN,0),MATCH(L$1,CS_CONS_LINK_ROW,0))="","",INDEX(CS_CONS_LINK_ARRAY,MATCH($C139,CS_CONS_LINK_COLUMN,0),MATCH(L$1,CS_CONS_LINK_ROW,0))))</f>
      </c>
      <c r="M139" s="156"/>
      <c r="N139" s="170">
        <v>38256</v>
      </c>
      <c r="O139" s="141">
        <f aca="true" t="shared" si="31" ref="O139:Q140">IF(O$27="No","–",IF(INDEX(CS_CONS_LINK_ARRAY,MATCH($C139,CS_CONS_LINK_COLUMN,0),MATCH(O$1,CS_CONS_LINK_ROW,0))="","",INDEX(CS_CONS_LINK_ARRAY,MATCH($C139,CS_CONS_LINK_COLUMN,0),MATCH(O$1,CS_CONS_LINK_ROW,0))))</f>
      </c>
      <c r="P139" s="141">
        <f t="shared" si="31"/>
      </c>
      <c r="Q139" s="141">
        <f t="shared" si="31"/>
      </c>
      <c r="R139" s="30"/>
      <c r="S139" s="45"/>
      <c r="T139" s="30"/>
      <c r="U139" s="237" t="s">
        <v>26</v>
      </c>
      <c r="V139" s="28"/>
      <c r="W139" s="238">
        <f>IF(L139="–",0,IF($U139="Positive Number",IF(OR(L139&lt;0,ISTEXT(L139),ISERROR(L139)),1,0),IF(OR(ISTEXT(L139),ISERROR(L139)),1,0)))</f>
        <v>1</v>
      </c>
      <c r="X139" s="239">
        <f>IF(O139="–",0,IF($U139="Positive Number",IF(OR(O139&lt;0,ISTEXT(O139),ISERROR(O139)),1,0),IF(OR(ISTEXT(O139),ISERROR(O139)),1,0)))</f>
        <v>1</v>
      </c>
      <c r="Y139" s="239">
        <f>IF(P139="–",0,IF($U139="Positive Number",IF(OR(P139&lt;0,ISTEXT(P139),ISERROR(P139)),1,0),IF(OR(ISTEXT(P139),ISERROR(P139)),1,0)))</f>
        <v>1</v>
      </c>
      <c r="Z139" s="239">
        <f>IF(Q139="–",0,IF($U139="Positive Number",IF(OR(Q139&lt;0,ISTEXT(Q139),ISERROR(Q139)),1,0),IF(OR(ISTEXT(Q139),ISERROR(Q139)),1,0)))</f>
        <v>1</v>
      </c>
      <c r="AA139" s="244"/>
      <c r="AB139" s="47"/>
    </row>
    <row r="140" spans="1:28" s="207" customFormat="1" ht="13.5" customHeight="1">
      <c r="A140" s="1"/>
      <c r="B140" s="245"/>
      <c r="C140" s="4" t="str">
        <f>"IWMTOTAL – Assets under management – "&amp;D140</f>
        <v>IWMTOTAL – Assets under management – Leverage exposure – look-through (CHF million)</v>
      </c>
      <c r="D140" s="86" t="s">
        <v>161</v>
      </c>
      <c r="E140" s="86"/>
      <c r="F140" s="30"/>
      <c r="G140" s="170">
        <v>93629</v>
      </c>
      <c r="H140" s="170">
        <v>93107</v>
      </c>
      <c r="I140" s="170">
        <v>93455</v>
      </c>
      <c r="J140" s="170">
        <v>99267</v>
      </c>
      <c r="K140" s="170">
        <v>93921</v>
      </c>
      <c r="L140" s="141">
        <f>IF(L$27="No","–",IF(INDEX(CS_CONS_LINK_ARRAY,MATCH($C140,CS_CONS_LINK_COLUMN,0),MATCH(L$1,CS_CONS_LINK_ROW,0))="","",INDEX(CS_CONS_LINK_ARRAY,MATCH($C140,CS_CONS_LINK_COLUMN,0),MATCH(L$1,CS_CONS_LINK_ROW,0))))</f>
      </c>
      <c r="M140" s="156"/>
      <c r="N140" s="170">
        <v>99267</v>
      </c>
      <c r="O140" s="141">
        <f t="shared" si="31"/>
      </c>
      <c r="P140" s="141">
        <f t="shared" si="31"/>
      </c>
      <c r="Q140" s="141">
        <f t="shared" si="31"/>
      </c>
      <c r="R140" s="30"/>
      <c r="S140" s="45"/>
      <c r="T140" s="425"/>
      <c r="U140" s="237"/>
      <c r="V140" s="30"/>
      <c r="W140" s="16"/>
      <c r="X140" s="61"/>
      <c r="Y140" s="61"/>
      <c r="Z140" s="61"/>
      <c r="AA140" s="244"/>
      <c r="AB140" s="47"/>
    </row>
    <row r="141" spans="1:28" ht="13.5" customHeight="1">
      <c r="A141" s="1"/>
      <c r="B141" s="305"/>
      <c r="C141" s="306"/>
      <c r="D141" s="435"/>
      <c r="E141" s="435"/>
      <c r="F141" s="436"/>
      <c r="G141" s="437"/>
      <c r="H141" s="437"/>
      <c r="I141" s="437"/>
      <c r="J141" s="437"/>
      <c r="K141" s="437"/>
      <c r="L141" s="437"/>
      <c r="M141" s="437"/>
      <c r="N141" s="437"/>
      <c r="O141" s="437"/>
      <c r="P141" s="437"/>
      <c r="Q141" s="437"/>
      <c r="R141" s="436"/>
      <c r="S141" s="436"/>
      <c r="T141" s="438"/>
      <c r="U141" s="306"/>
      <c r="V141" s="438"/>
      <c r="W141" s="438"/>
      <c r="X141" s="438"/>
      <c r="Y141" s="438"/>
      <c r="Z141" s="438"/>
      <c r="AA141" s="245"/>
      <c r="AB141" s="47"/>
    </row>
    <row r="142" spans="1:28" ht="27" customHeight="1">
      <c r="A142" s="1"/>
      <c r="B142" s="305"/>
      <c r="C142" s="432"/>
      <c r="D142" s="433" t="s">
        <v>178</v>
      </c>
      <c r="E142" s="433"/>
      <c r="F142" s="251"/>
      <c r="G142" s="434"/>
      <c r="H142" s="434"/>
      <c r="I142" s="434"/>
      <c r="J142" s="434"/>
      <c r="K142" s="434"/>
      <c r="L142" s="434"/>
      <c r="M142" s="434"/>
      <c r="N142" s="434"/>
      <c r="O142" s="434"/>
      <c r="P142" s="434"/>
      <c r="Q142" s="434"/>
      <c r="R142" s="251"/>
      <c r="S142" s="251"/>
      <c r="T142" s="251"/>
      <c r="U142" s="432"/>
      <c r="V142" s="251"/>
      <c r="W142" s="251"/>
      <c r="X142" s="251"/>
      <c r="Y142" s="251"/>
      <c r="Z142" s="251"/>
      <c r="AA142" s="245"/>
      <c r="AB142" s="47"/>
    </row>
    <row r="143" spans="1:28" ht="13.5" customHeight="1">
      <c r="A143" s="1"/>
      <c r="B143" s="244"/>
      <c r="C143" s="2"/>
      <c r="D143" s="2"/>
      <c r="E143" s="2"/>
      <c r="F143" s="2"/>
      <c r="G143" s="137"/>
      <c r="H143" s="137"/>
      <c r="I143" s="137"/>
      <c r="J143" s="137"/>
      <c r="K143" s="137"/>
      <c r="L143" s="136"/>
      <c r="M143" s="136"/>
      <c r="N143" s="137"/>
      <c r="O143" s="136"/>
      <c r="P143" s="136"/>
      <c r="Q143" s="136"/>
      <c r="R143" s="2"/>
      <c r="S143" s="2"/>
      <c r="T143" s="2"/>
      <c r="U143" s="2"/>
      <c r="V143" s="2"/>
      <c r="W143" s="2"/>
      <c r="X143" s="2"/>
      <c r="Y143" s="2"/>
      <c r="Z143" s="2"/>
      <c r="AA143" s="244"/>
      <c r="AB143" s="47"/>
    </row>
    <row r="144" spans="1:28" ht="13.5" customHeight="1">
      <c r="A144" s="1"/>
      <c r="B144" s="245"/>
      <c r="C144" s="3"/>
      <c r="D144" s="3" t="s">
        <v>0</v>
      </c>
      <c r="E144" s="3"/>
      <c r="F144" s="26"/>
      <c r="G144" s="140"/>
      <c r="H144" s="140"/>
      <c r="I144" s="140"/>
      <c r="J144" s="140"/>
      <c r="K144" s="140"/>
      <c r="L144" s="138"/>
      <c r="M144" s="139"/>
      <c r="N144" s="140"/>
      <c r="O144" s="138"/>
      <c r="P144" s="138"/>
      <c r="Q144" s="138"/>
      <c r="R144" s="26"/>
      <c r="S144" s="3"/>
      <c r="T144" s="26"/>
      <c r="U144" s="3"/>
      <c r="V144" s="26"/>
      <c r="W144" s="3"/>
      <c r="X144" s="3"/>
      <c r="Y144" s="3"/>
      <c r="Z144" s="3"/>
      <c r="AA144" s="244"/>
      <c r="AB144" s="47"/>
    </row>
    <row r="145" spans="1:28" ht="13.5" customHeight="1">
      <c r="A145" s="1"/>
      <c r="B145" s="245"/>
      <c r="C145" s="4" t="str">
        <f aca="true" t="shared" si="32" ref="C145:C154">"IWMPB – Income statement – "&amp;D145</f>
        <v>IWMPB – Income statement – Net interest income</v>
      </c>
      <c r="D145" s="218" t="s">
        <v>194</v>
      </c>
      <c r="E145" s="290"/>
      <c r="F145" s="33"/>
      <c r="G145" s="170">
        <v>342</v>
      </c>
      <c r="H145" s="170">
        <v>360</v>
      </c>
      <c r="I145" s="170">
        <v>367</v>
      </c>
      <c r="J145" s="170">
        <v>380</v>
      </c>
      <c r="K145" s="170">
        <v>388</v>
      </c>
      <c r="L145" s="141">
        <f aca="true" t="shared" si="33" ref="L145:L150">IF(L$27="No","–",IF(INDEX(CS_CONS_LINK_ARRAY,MATCH($C145,CS_CONS_LINK_COLUMN,0),MATCH(L$1,CS_CONS_LINK_ROW,0))="","",INDEX(CS_CONS_LINK_ARRAY,MATCH($C145,CS_CONS_LINK_COLUMN,0),MATCH(L$1,CS_CONS_LINK_ROW,0))))</f>
      </c>
      <c r="M145" s="142"/>
      <c r="N145" s="170">
        <v>1449</v>
      </c>
      <c r="O145" s="141">
        <f aca="true" t="shared" si="34" ref="O145:Q148">IF(O$27="No","–",IF(INDEX(CS_CONS_LINK_ARRAY,MATCH($C145,CS_CONS_LINK_COLUMN,0),MATCH(O$1,CS_CONS_LINK_ROW,0))="","",INDEX(CS_CONS_LINK_ARRAY,MATCH($C145,CS_CONS_LINK_COLUMN,0),MATCH(O$1,CS_CONS_LINK_ROW,0))))</f>
      </c>
      <c r="P145" s="141">
        <f t="shared" si="34"/>
      </c>
      <c r="Q145" s="141">
        <f t="shared" si="34"/>
      </c>
      <c r="R145" s="33"/>
      <c r="S145" s="45"/>
      <c r="T145" s="33"/>
      <c r="U145" s="38" t="s">
        <v>26</v>
      </c>
      <c r="V145" s="33"/>
      <c r="W145" s="37">
        <f aca="true" t="shared" si="35" ref="W145:W153">IF(L145="–",0,IF($U145="Positive Number",IF(OR(L145&lt;0,ISTEXT(L145),ISERROR(L145)),1,0),IF(OR(ISTEXT(L145),ISERROR(L145)),1,0)))</f>
        <v>1</v>
      </c>
      <c r="X145" s="57">
        <f>IF(O145="–",0,IF($U145="Positive Number",IF(OR(O145&lt;0,ISTEXT(O145),ISERROR(O145)),1,0),IF(OR(ISTEXT(O145),ISERROR(O145)),1,0)))</f>
        <v>1</v>
      </c>
      <c r="Y145" s="57">
        <f>IF(P145="–",0,IF($U145="Positive Number",IF(OR(P145&lt;0,ISTEXT(P145),ISERROR(P145)),1,0),IF(OR(ISTEXT(P145),ISERROR(P145)),1,0)))</f>
        <v>1</v>
      </c>
      <c r="Z145" s="57">
        <f>IF(Q145="–",0,IF($U145="Positive Number",IF(OR(Q145&lt;0,ISTEXT(Q145),ISERROR(Q145)),1,0),IF(OR(ISTEXT(Q145),ISERROR(Q145)),1,0)))</f>
        <v>1</v>
      </c>
      <c r="AA145" s="254"/>
      <c r="AB145" s="47"/>
    </row>
    <row r="146" spans="1:28" ht="13.5" customHeight="1">
      <c r="A146" s="1"/>
      <c r="B146" s="245"/>
      <c r="C146" s="4" t="str">
        <f t="shared" si="32"/>
        <v>IWMPB – Income statement – Recurring commissions and fees</v>
      </c>
      <c r="D146" s="218" t="s">
        <v>140</v>
      </c>
      <c r="E146" s="290"/>
      <c r="F146" s="33"/>
      <c r="G146" s="170">
        <v>290</v>
      </c>
      <c r="H146" s="170">
        <v>302</v>
      </c>
      <c r="I146" s="170">
        <v>300</v>
      </c>
      <c r="J146" s="170">
        <v>308</v>
      </c>
      <c r="K146" s="170">
        <v>307</v>
      </c>
      <c r="L146" s="141">
        <f t="shared" si="33"/>
      </c>
      <c r="M146" s="142"/>
      <c r="N146" s="170">
        <v>1200</v>
      </c>
      <c r="O146" s="141">
        <f t="shared" si="34"/>
      </c>
      <c r="P146" s="141">
        <f t="shared" si="34"/>
      </c>
      <c r="Q146" s="141">
        <f t="shared" si="34"/>
      </c>
      <c r="R146" s="33"/>
      <c r="S146" s="45"/>
      <c r="T146" s="33"/>
      <c r="U146" s="38" t="s">
        <v>26</v>
      </c>
      <c r="V146" s="33"/>
      <c r="W146" s="37">
        <f t="shared" si="35"/>
        <v>1</v>
      </c>
      <c r="X146" s="57">
        <f aca="true" t="shared" si="36" ref="X146:Z153">IF(O146="–",0,IF($U146="Positive Number",IF(OR(O146&lt;0,ISTEXT(O146),ISERROR(O146)),1,0),IF(OR(ISTEXT(O146),ISERROR(O146)),1,0)))</f>
        <v>1</v>
      </c>
      <c r="Y146" s="57">
        <f t="shared" si="36"/>
        <v>1</v>
      </c>
      <c r="Z146" s="57">
        <f t="shared" si="36"/>
        <v>1</v>
      </c>
      <c r="AA146" s="254"/>
      <c r="AB146" s="47"/>
    </row>
    <row r="147" spans="1:28" ht="13.5" customHeight="1">
      <c r="A147" s="1"/>
      <c r="B147" s="245"/>
      <c r="C147" s="4" t="str">
        <f t="shared" si="32"/>
        <v>IWMPB – Income statement – Transaction and performance-based revenues</v>
      </c>
      <c r="D147" s="218" t="s">
        <v>141</v>
      </c>
      <c r="E147" s="290"/>
      <c r="F147" s="33"/>
      <c r="G147" s="170">
        <v>250</v>
      </c>
      <c r="H147" s="170">
        <v>265</v>
      </c>
      <c r="I147" s="170">
        <v>203</v>
      </c>
      <c r="J147" s="170">
        <v>235</v>
      </c>
      <c r="K147" s="170">
        <v>311</v>
      </c>
      <c r="L147" s="141">
        <f t="shared" si="33"/>
      </c>
      <c r="M147" s="142"/>
      <c r="N147" s="170">
        <v>953</v>
      </c>
      <c r="O147" s="141">
        <f t="shared" si="34"/>
      </c>
      <c r="P147" s="141">
        <f t="shared" si="34"/>
      </c>
      <c r="Q147" s="141">
        <f t="shared" si="34"/>
      </c>
      <c r="R147" s="33"/>
      <c r="S147" s="45"/>
      <c r="T147" s="33"/>
      <c r="U147" s="38" t="s">
        <v>26</v>
      </c>
      <c r="V147" s="33"/>
      <c r="W147" s="37">
        <f t="shared" si="35"/>
        <v>1</v>
      </c>
      <c r="X147" s="57">
        <f t="shared" si="36"/>
        <v>1</v>
      </c>
      <c r="Y147" s="57">
        <f t="shared" si="36"/>
        <v>1</v>
      </c>
      <c r="Z147" s="57">
        <f t="shared" si="36"/>
        <v>1</v>
      </c>
      <c r="AA147" s="254"/>
      <c r="AB147" s="47"/>
    </row>
    <row r="148" spans="1:28" s="207" customFormat="1" ht="13.5" customHeight="1">
      <c r="A148" s="1"/>
      <c r="B148" s="245"/>
      <c r="C148" s="4" t="str">
        <f t="shared" si="32"/>
        <v>IWMPB – Income statement – Other revenues</v>
      </c>
      <c r="D148" s="218" t="s">
        <v>136</v>
      </c>
      <c r="E148" s="290"/>
      <c r="F148" s="33"/>
      <c r="G148" s="170">
        <v>1</v>
      </c>
      <c r="H148" s="170">
        <v>0</v>
      </c>
      <c r="I148" s="170">
        <v>0</v>
      </c>
      <c r="J148" s="170">
        <v>0</v>
      </c>
      <c r="K148" s="170">
        <v>37</v>
      </c>
      <c r="L148" s="141">
        <f t="shared" si="33"/>
      </c>
      <c r="M148" s="142"/>
      <c r="N148" s="170">
        <v>1</v>
      </c>
      <c r="O148" s="141">
        <f t="shared" si="34"/>
      </c>
      <c r="P148" s="141">
        <f t="shared" si="34"/>
      </c>
      <c r="Q148" s="141">
        <f t="shared" si="34"/>
      </c>
      <c r="R148" s="33"/>
      <c r="S148" s="45"/>
      <c r="T148" s="33"/>
      <c r="U148" s="237" t="s">
        <v>26</v>
      </c>
      <c r="V148" s="33"/>
      <c r="W148" s="238">
        <f t="shared" si="35"/>
        <v>1</v>
      </c>
      <c r="X148" s="239">
        <f t="shared" si="36"/>
        <v>1</v>
      </c>
      <c r="Y148" s="239">
        <f t="shared" si="36"/>
        <v>1</v>
      </c>
      <c r="Z148" s="239">
        <f t="shared" si="36"/>
        <v>1</v>
      </c>
      <c r="AA148" s="244"/>
      <c r="AB148" s="47"/>
    </row>
    <row r="149" spans="1:28" ht="13.5" customHeight="1">
      <c r="A149" s="1"/>
      <c r="B149" s="245"/>
      <c r="C149" s="4" t="str">
        <f t="shared" si="32"/>
        <v>IWMPB – Income statement – Net revenues</v>
      </c>
      <c r="D149" s="288" t="s">
        <v>1</v>
      </c>
      <c r="E149" s="289"/>
      <c r="F149" s="33"/>
      <c r="G149" s="277">
        <f>IF(ISERROR(G145+G146+G147+G148),"–",G145+G146+G147+G148)</f>
        <v>883</v>
      </c>
      <c r="H149" s="277">
        <f>IF(ISERROR(H145+H146+H147+H148),"–",H145+H146+H147+H148)</f>
        <v>927</v>
      </c>
      <c r="I149" s="277">
        <f>IF(ISERROR(I145+I146+I147+I148),"–",I145+I146+I147+I148)</f>
        <v>870</v>
      </c>
      <c r="J149" s="277">
        <f>IF(ISERROR(J145+J146+J147+J148),"–",J145+J146+J147+J148)</f>
        <v>923</v>
      </c>
      <c r="K149" s="277">
        <f>IF(ISERROR(K145+K146+K147+K148),"–",K145+K146+K147+K148)</f>
        <v>1043</v>
      </c>
      <c r="L149" s="277" t="str">
        <f>IF(ISERROR(L145+L146+L147+L148),"–",L145+L146+L147+L148)</f>
        <v>–</v>
      </c>
      <c r="M149" s="142"/>
      <c r="N149" s="277">
        <f>IF(ISERROR(N145+N146+N147+N148),"–",N145+N146+N147+N148)</f>
        <v>3603</v>
      </c>
      <c r="O149" s="277" t="str">
        <f>IF(ISERROR(O145+O146+O147+O148),"–",O145+O146+O147+O148)</f>
        <v>–</v>
      </c>
      <c r="P149" s="277" t="str">
        <f>IF(ISERROR(P145+P146+P147+P148),"–",P145+P146+P147+P148)</f>
        <v>–</v>
      </c>
      <c r="Q149" s="277" t="str">
        <f>IF(ISERROR(Q145+Q146+Q147+Q148),"–",Q145+Q146+Q147+Q148)</f>
        <v>–</v>
      </c>
      <c r="R149" s="33"/>
      <c r="S149" s="45"/>
      <c r="T149" s="33"/>
      <c r="U149" s="38" t="s">
        <v>25</v>
      </c>
      <c r="V149" s="27"/>
      <c r="W149" s="37">
        <f t="shared" si="35"/>
        <v>0</v>
      </c>
      <c r="X149" s="57">
        <f t="shared" si="36"/>
        <v>0</v>
      </c>
      <c r="Y149" s="57">
        <f t="shared" si="36"/>
        <v>0</v>
      </c>
      <c r="Z149" s="57">
        <f t="shared" si="36"/>
        <v>0</v>
      </c>
      <c r="AA149" s="244"/>
      <c r="AB149" s="47"/>
    </row>
    <row r="150" spans="1:28" ht="13.5" customHeight="1">
      <c r="A150" s="10"/>
      <c r="B150" s="245"/>
      <c r="C150" s="4" t="str">
        <f t="shared" si="32"/>
        <v>IWMPB – Income statement – Provision for credit losses</v>
      </c>
      <c r="D150" s="288" t="s">
        <v>5</v>
      </c>
      <c r="E150" s="289"/>
      <c r="F150" s="33"/>
      <c r="G150" s="145">
        <v>2</v>
      </c>
      <c r="H150" s="145">
        <v>8</v>
      </c>
      <c r="I150" s="145">
        <v>3</v>
      </c>
      <c r="J150" s="145">
        <v>14</v>
      </c>
      <c r="K150" s="145">
        <v>-1</v>
      </c>
      <c r="L150" s="147">
        <f t="shared" si="33"/>
      </c>
      <c r="M150" s="142"/>
      <c r="N150" s="145">
        <v>27</v>
      </c>
      <c r="O150" s="147">
        <f aca="true" t="shared" si="37" ref="O150:Q152">IF(O$27="No","–",IF(INDEX(CS_CONS_LINK_ARRAY,MATCH($C150,CS_CONS_LINK_COLUMN,0),MATCH(O$1,CS_CONS_LINK_ROW,0))="","",INDEX(CS_CONS_LINK_ARRAY,MATCH($C150,CS_CONS_LINK_COLUMN,0),MATCH(O$1,CS_CONS_LINK_ROW,0))))</f>
      </c>
      <c r="P150" s="147">
        <f t="shared" si="37"/>
      </c>
      <c r="Q150" s="147">
        <f t="shared" si="37"/>
      </c>
      <c r="R150" s="33"/>
      <c r="S150" s="45"/>
      <c r="T150" s="33"/>
      <c r="U150" s="38" t="s">
        <v>26</v>
      </c>
      <c r="V150" s="27"/>
      <c r="W150" s="37">
        <f t="shared" si="35"/>
        <v>1</v>
      </c>
      <c r="X150" s="57">
        <f t="shared" si="36"/>
        <v>1</v>
      </c>
      <c r="Y150" s="57">
        <f t="shared" si="36"/>
        <v>1</v>
      </c>
      <c r="Z150" s="57">
        <f t="shared" si="36"/>
        <v>1</v>
      </c>
      <c r="AA150" s="244"/>
      <c r="AB150" s="64"/>
    </row>
    <row r="151" spans="1:28" ht="13.5" customHeight="1">
      <c r="A151" s="1"/>
      <c r="B151" s="245"/>
      <c r="C151" s="4" t="str">
        <f t="shared" si="32"/>
        <v>IWMPB – Income statement – Compensation and benefits</v>
      </c>
      <c r="D151" s="76" t="s">
        <v>6</v>
      </c>
      <c r="E151" s="84"/>
      <c r="F151" s="33"/>
      <c r="G151" s="170">
        <v>393</v>
      </c>
      <c r="H151" s="170">
        <v>402</v>
      </c>
      <c r="I151" s="170">
        <v>388</v>
      </c>
      <c r="J151" s="170">
        <v>357</v>
      </c>
      <c r="K151" s="170">
        <v>411</v>
      </c>
      <c r="L151" s="141">
        <f>IF(L$27="No","–",IF(INDEX(CS_CONS_LINK_ARRAY,MATCH($C151,CS_CONS_LINK_COLUMN,0),MATCH(L$1,CS_CONS_LINK_ROW,0))="","",INDEX(CS_CONS_LINK_ARRAY,MATCH($C151,CS_CONS_LINK_COLUMN,0),MATCH(L$1,CS_CONS_LINK_ROW,0))))</f>
      </c>
      <c r="M151" s="142"/>
      <c r="N151" s="170">
        <v>1490</v>
      </c>
      <c r="O151" s="141">
        <f t="shared" si="37"/>
      </c>
      <c r="P151" s="141">
        <f t="shared" si="37"/>
      </c>
      <c r="Q151" s="141">
        <f t="shared" si="37"/>
      </c>
      <c r="R151" s="33"/>
      <c r="S151" s="45"/>
      <c r="T151" s="33"/>
      <c r="U151" s="38" t="s">
        <v>25</v>
      </c>
      <c r="V151" s="33"/>
      <c r="W151" s="37">
        <f t="shared" si="35"/>
        <v>1</v>
      </c>
      <c r="X151" s="57">
        <f t="shared" si="36"/>
        <v>1</v>
      </c>
      <c r="Y151" s="57">
        <f t="shared" si="36"/>
        <v>1</v>
      </c>
      <c r="Z151" s="57">
        <f t="shared" si="36"/>
        <v>1</v>
      </c>
      <c r="AA151" s="244"/>
      <c r="AB151" s="47"/>
    </row>
    <row r="152" spans="1:28" ht="13.5" customHeight="1">
      <c r="A152" s="1"/>
      <c r="B152" s="245"/>
      <c r="C152" s="4" t="str">
        <f t="shared" si="32"/>
        <v>IWMPB – Income statement – Total other operating expenses</v>
      </c>
      <c r="D152" s="76" t="s">
        <v>137</v>
      </c>
      <c r="E152" s="84"/>
      <c r="F152" s="33"/>
      <c r="G152" s="170">
        <v>249</v>
      </c>
      <c r="H152" s="170">
        <v>220</v>
      </c>
      <c r="I152" s="170">
        <v>227</v>
      </c>
      <c r="J152" s="170">
        <v>316</v>
      </c>
      <c r="K152" s="170">
        <v>232</v>
      </c>
      <c r="L152" s="141">
        <f>IF(L$27="No","–",IF(INDEX(CS_CONS_LINK_ARRAY,MATCH($C152,CS_CONS_LINK_COLUMN,0),MATCH(L$1,CS_CONS_LINK_ROW,0))="","",INDEX(CS_CONS_LINK_ARRAY,MATCH($C152,CS_CONS_LINK_COLUMN,0),MATCH(L$1,CS_CONS_LINK_ROW,0))))</f>
      </c>
      <c r="M152" s="142"/>
      <c r="N152" s="170">
        <v>1062</v>
      </c>
      <c r="O152" s="141">
        <f t="shared" si="37"/>
      </c>
      <c r="P152" s="141">
        <f t="shared" si="37"/>
      </c>
      <c r="Q152" s="141">
        <f t="shared" si="37"/>
      </c>
      <c r="R152" s="33"/>
      <c r="S152" s="45"/>
      <c r="T152" s="33"/>
      <c r="U152" s="38" t="s">
        <v>25</v>
      </c>
      <c r="V152" s="33"/>
      <c r="W152" s="37">
        <f t="shared" si="35"/>
        <v>1</v>
      </c>
      <c r="X152" s="57">
        <f t="shared" si="36"/>
        <v>1</v>
      </c>
      <c r="Y152" s="57">
        <f t="shared" si="36"/>
        <v>1</v>
      </c>
      <c r="Z152" s="57">
        <f t="shared" si="36"/>
        <v>1</v>
      </c>
      <c r="AA152" s="244"/>
      <c r="AB152" s="47"/>
    </row>
    <row r="153" spans="1:28" ht="13.5" customHeight="1">
      <c r="A153" s="1"/>
      <c r="B153" s="245"/>
      <c r="C153" s="4" t="str">
        <f t="shared" si="32"/>
        <v>IWMPB – Income statement – Total operating expenses</v>
      </c>
      <c r="D153" s="288" t="s">
        <v>7</v>
      </c>
      <c r="E153" s="289"/>
      <c r="F153" s="33"/>
      <c r="G153" s="275">
        <f>IF(ISERROR(G151+G152),"–",G151+G152)</f>
        <v>642</v>
      </c>
      <c r="H153" s="275">
        <f>IF(ISERROR(H151+H152),"–",H151+H152)</f>
        <v>622</v>
      </c>
      <c r="I153" s="275">
        <f>IF(ISERROR(I151+I152),"–",I151+I152)</f>
        <v>615</v>
      </c>
      <c r="J153" s="275">
        <f>IF(ISERROR(J151+J152),"–",J151+J152)</f>
        <v>673</v>
      </c>
      <c r="K153" s="275">
        <f>IF(ISERROR(K151+K152),"–",K151+K152)</f>
        <v>643</v>
      </c>
      <c r="L153" s="275" t="str">
        <f>IF(ISERROR(L151+L152),"–",L151+L152)</f>
        <v>–</v>
      </c>
      <c r="M153" s="142"/>
      <c r="N153" s="275">
        <f>IF(ISERROR(N151+N152),"–",N151+N152)</f>
        <v>2552</v>
      </c>
      <c r="O153" s="275" t="str">
        <f>IF(ISERROR(O151+O152),"–",O151+O152)</f>
        <v>–</v>
      </c>
      <c r="P153" s="275" t="str">
        <f>IF(ISERROR(P151+P152),"–",P151+P152)</f>
        <v>–</v>
      </c>
      <c r="Q153" s="275" t="str">
        <f>IF(ISERROR(Q151+Q152),"–",Q151+Q152)</f>
        <v>–</v>
      </c>
      <c r="R153" s="33"/>
      <c r="S153" s="45"/>
      <c r="T153" s="33"/>
      <c r="U153" s="38" t="s">
        <v>26</v>
      </c>
      <c r="V153" s="27"/>
      <c r="W153" s="37">
        <f t="shared" si="35"/>
        <v>0</v>
      </c>
      <c r="X153" s="57">
        <f t="shared" si="36"/>
        <v>0</v>
      </c>
      <c r="Y153" s="57">
        <f t="shared" si="36"/>
        <v>0</v>
      </c>
      <c r="Z153" s="57">
        <f t="shared" si="36"/>
        <v>0</v>
      </c>
      <c r="AA153" s="244"/>
      <c r="AB153" s="47"/>
    </row>
    <row r="154" spans="1:28" ht="13.5" customHeight="1">
      <c r="A154" s="1"/>
      <c r="B154" s="245"/>
      <c r="C154" s="4" t="str">
        <f t="shared" si="32"/>
        <v>IWMPB – Income statement – Income from continuing operations before taxes</v>
      </c>
      <c r="D154" s="75" t="s">
        <v>8</v>
      </c>
      <c r="E154" s="83"/>
      <c r="F154" s="33"/>
      <c r="G154" s="145">
        <f>IF(ISERROR(G149-G150-G153),"–",G149-G150-G153)</f>
        <v>239</v>
      </c>
      <c r="H154" s="145">
        <f>IF(ISERROR(H149-H150-H153),"–",H149-H150-H153)</f>
        <v>297</v>
      </c>
      <c r="I154" s="145">
        <f>IF(ISERROR(I149-I150-I153),"–",I149-I150-I153)</f>
        <v>252</v>
      </c>
      <c r="J154" s="145">
        <f>IF(ISERROR(J149-J150-J153),"–",J149-J150-J153)</f>
        <v>236</v>
      </c>
      <c r="K154" s="145">
        <f>IF(ISERROR(K149-K150-K153),"–",K149-K150-K153)</f>
        <v>401</v>
      </c>
      <c r="L154" s="145" t="str">
        <f>IF(ISERROR(L149-L150-L153),"–",L149-L150-L153)</f>
        <v>–</v>
      </c>
      <c r="M154" s="142"/>
      <c r="N154" s="145">
        <f>IF(ISERROR(N149-N150-N153),"–",N149-N150-N153)</f>
        <v>1024</v>
      </c>
      <c r="O154" s="145" t="str">
        <f>IF(ISERROR(O149-O150-O153),"–",O149-O150-O153)</f>
        <v>–</v>
      </c>
      <c r="P154" s="145" t="str">
        <f>IF(ISERROR(P149-P150-P153),"–",P149-P150-P153)</f>
        <v>–</v>
      </c>
      <c r="Q154" s="145" t="str">
        <f>IF(ISERROR(Q149-Q150-Q153),"–",Q149-Q150-Q153)</f>
        <v>–</v>
      </c>
      <c r="R154" s="33"/>
      <c r="S154" s="45"/>
      <c r="T154" s="33"/>
      <c r="U154" s="4"/>
      <c r="V154" s="33"/>
      <c r="W154" s="5"/>
      <c r="X154" s="54"/>
      <c r="Y154" s="54"/>
      <c r="Z154" s="54"/>
      <c r="AA154" s="244"/>
      <c r="AB154" s="47"/>
    </row>
    <row r="155" spans="1:28" ht="13.5" customHeight="1">
      <c r="A155" s="1"/>
      <c r="B155" s="245"/>
      <c r="C155" s="6"/>
      <c r="D155" s="7"/>
      <c r="E155" s="7"/>
      <c r="F155" s="33"/>
      <c r="G155" s="8"/>
      <c r="H155" s="8"/>
      <c r="I155" s="8"/>
      <c r="J155" s="8"/>
      <c r="K155" s="8"/>
      <c r="L155" s="8"/>
      <c r="M155" s="142"/>
      <c r="N155" s="8"/>
      <c r="O155" s="8"/>
      <c r="P155" s="8"/>
      <c r="Q155" s="8"/>
      <c r="R155" s="33"/>
      <c r="S155" s="8"/>
      <c r="T155" s="33"/>
      <c r="U155" s="6"/>
      <c r="V155" s="33"/>
      <c r="W155" s="8"/>
      <c r="X155" s="8"/>
      <c r="Y155" s="8"/>
      <c r="Z155" s="8"/>
      <c r="AA155" s="244"/>
      <c r="AB155" s="47"/>
    </row>
    <row r="156" spans="1:28" ht="13.5" customHeight="1" hidden="1">
      <c r="A156" s="1"/>
      <c r="B156" s="245"/>
      <c r="C156" s="4" t="str">
        <f>"IWMPB – Income statement – "&amp;D156</f>
        <v>IWMPB – Income statement – Compensation ratio (%)</v>
      </c>
      <c r="D156" s="82" t="s">
        <v>9</v>
      </c>
      <c r="E156" s="91"/>
      <c r="F156" s="33"/>
      <c r="G156" s="151">
        <f>IF(ISERROR(G151/G149),"–",IF(ABS(G151/G149*100)&gt;NM,"–",G151/G149*100))</f>
        <v>44.50736126840317</v>
      </c>
      <c r="H156" s="151">
        <f>IF(ISERROR(H151/H149),"–",IF(ABS(H151/H149*100)&gt;NM,"–",H151/H149*100))</f>
        <v>43.36569579288026</v>
      </c>
      <c r="I156" s="151">
        <f>IF(ISERROR(I151/I149),"–",IF(ABS(I151/I149*100)&gt;NM,"–",I151/I149*100))</f>
        <v>44.59770114942529</v>
      </c>
      <c r="J156" s="151">
        <f>IF(ISERROR(J151/J149),"–",IF(ABS(J151/J149*100)&gt;NM,"–",J151/J149*100))</f>
        <v>38.67822318526544</v>
      </c>
      <c r="K156" s="151">
        <f>IF(ISERROR(K151/K149),"–",IF(ABS(K151/K149*100)&gt;NM,"–",K151/K149*100))</f>
        <v>39.40556088207095</v>
      </c>
      <c r="L156" s="151" t="str">
        <f>IF(ISERROR(L151/L149),"–",IF(ABS(L151/L149*100)&gt;NM,"–",L151/L149*100))</f>
        <v>–</v>
      </c>
      <c r="M156" s="142"/>
      <c r="N156" s="151">
        <f>IF(ISERROR(N151/N149),"–",IF(ABS(N151/N149*100)&gt;NM,"–",N151/N149*100))</f>
        <v>41.35442686650014</v>
      </c>
      <c r="O156" s="151" t="str">
        <f>IF(ISERROR(O151/O149),"–",IF(ABS(O151/O149*100)&gt;NM,"–",O151/O149*100))</f>
        <v>–</v>
      </c>
      <c r="P156" s="151" t="str">
        <f>IF(ISERROR(P151/P149),"–",IF(ABS(P151/P149*100)&gt;NM,"–",P151/P149*100))</f>
        <v>–</v>
      </c>
      <c r="Q156" s="151" t="str">
        <f>IF(ISERROR(Q151/Q149),"–",IF(ABS(Q151/Q149*100)&gt;NM,"–",Q151/Q149*100))</f>
        <v>–</v>
      </c>
      <c r="R156" s="33"/>
      <c r="S156" s="45"/>
      <c r="T156" s="33"/>
      <c r="U156" s="4"/>
      <c r="V156" s="33"/>
      <c r="W156" s="12"/>
      <c r="X156" s="58"/>
      <c r="Y156" s="58"/>
      <c r="Z156" s="58"/>
      <c r="AA156" s="244"/>
      <c r="AB156" s="47"/>
    </row>
    <row r="157" spans="1:28" ht="13.5" customHeight="1" hidden="1">
      <c r="A157" s="1"/>
      <c r="B157" s="245"/>
      <c r="C157" s="4" t="str">
        <f>"IWMPB – Income statement – "&amp;D157</f>
        <v>IWMPB – Income statement – Non-compensation ratio (%)</v>
      </c>
      <c r="D157" s="82" t="s">
        <v>10</v>
      </c>
      <c r="E157" s="91"/>
      <c r="F157" s="33"/>
      <c r="G157" s="151">
        <f>IF(ISERROR(G152/G149),"–",IF(ABS(G152/G149*100)&gt;NM,"–",G152/G149*100))</f>
        <v>28.199320498301244</v>
      </c>
      <c r="H157" s="151">
        <f>IF(ISERROR(H152/H149),"–",IF(ABS(H152/H149*100)&gt;NM,"–",H152/H149*100))</f>
        <v>23.73247033441208</v>
      </c>
      <c r="I157" s="151">
        <f>IF(ISERROR(I152/I149),"–",IF(ABS(I152/I149*100)&gt;NM,"–",I152/I149*100))</f>
        <v>26.091954022988507</v>
      </c>
      <c r="J157" s="151">
        <f>IF(ISERROR(J152/J149),"–",IF(ABS(J152/J149*100)&gt;NM,"–",J152/J149*100))</f>
        <v>34.236186348862404</v>
      </c>
      <c r="K157" s="151">
        <f>IF(ISERROR(K152/K149),"–",IF(ABS(K152/K149*100)&gt;NM,"–",K152/K149*100))</f>
        <v>22.24352828379674</v>
      </c>
      <c r="L157" s="151" t="str">
        <f>IF(ISERROR(L152/L149),"–",IF(ABS(L152/L149*100)&gt;NM,"–",L152/L149*100))</f>
        <v>–</v>
      </c>
      <c r="M157" s="142"/>
      <c r="N157" s="151">
        <f>IF(ISERROR(N152/N149),"–",IF(ABS(N152/N149*100)&gt;NM,"–",N152/N149*100))</f>
        <v>29.475437135720234</v>
      </c>
      <c r="O157" s="151" t="str">
        <f>IF(ISERROR(O152/O149),"–",IF(ABS(O152/O149*100)&gt;NM,"–",O152/O149*100))</f>
        <v>–</v>
      </c>
      <c r="P157" s="151" t="str">
        <f>IF(ISERROR(P152/P149),"–",IF(ABS(P152/P149*100)&gt;NM,"–",P152/P149*100))</f>
        <v>–</v>
      </c>
      <c r="Q157" s="151" t="str">
        <f>IF(ISERROR(Q152/Q149),"–",IF(ABS(Q152/Q149*100)&gt;NM,"–",Q152/Q149*100))</f>
        <v>–</v>
      </c>
      <c r="R157" s="33"/>
      <c r="S157" s="45"/>
      <c r="T157" s="33"/>
      <c r="U157" s="4"/>
      <c r="V157" s="33"/>
      <c r="W157" s="12"/>
      <c r="X157" s="58"/>
      <c r="Y157" s="58"/>
      <c r="Z157" s="58"/>
      <c r="AA157" s="244"/>
      <c r="AB157" s="47"/>
    </row>
    <row r="158" spans="1:28" ht="13.5" customHeight="1">
      <c r="A158" s="1"/>
      <c r="B158" s="245"/>
      <c r="C158" s="4" t="str">
        <f>"IWMPB – Income statement – "&amp;D158</f>
        <v>IWMPB – Income statement – Cost / income ratio (%)</v>
      </c>
      <c r="D158" s="77" t="s">
        <v>11</v>
      </c>
      <c r="E158" s="85"/>
      <c r="F158" s="33"/>
      <c r="G158" s="151">
        <f>IF(ISERROR(G153/G149),"–",IF(ABS(G153/G149*100)&gt;NM,"–",G153/G149*100))</f>
        <v>72.70668176670442</v>
      </c>
      <c r="H158" s="151">
        <f>IF(ISERROR(H153/H149),"–",IF(ABS(H153/H149*100)&gt;NM,"–",H153/H149*100))</f>
        <v>67.09816612729233</v>
      </c>
      <c r="I158" s="151">
        <f>IF(ISERROR(I153/I149),"–",IF(ABS(I153/I149*100)&gt;NM,"–",I153/I149*100))</f>
        <v>70.6896551724138</v>
      </c>
      <c r="J158" s="151">
        <f>IF(ISERROR(J153/J149),"–",IF(ABS(J153/J149*100)&gt;NM,"–",J153/J149*100))</f>
        <v>72.91440953412784</v>
      </c>
      <c r="K158" s="151">
        <f>IF(ISERROR(K153/K149),"–",IF(ABS(K153/K149*100)&gt;NM,"–",K153/K149*100))</f>
        <v>61.649089165867686</v>
      </c>
      <c r="L158" s="151" t="str">
        <f>IF(ISERROR(L153/L149),"–",IF(ABS(L153/L149*100)&gt;NM,"–",L153/L149*100))</f>
        <v>–</v>
      </c>
      <c r="M158" s="142"/>
      <c r="N158" s="151">
        <f>IF(ISERROR(N153/N149),"–",IF(ABS(N153/N149*100)&gt;NM,"–",N153/N149*100))</f>
        <v>70.82986400222038</v>
      </c>
      <c r="O158" s="151" t="str">
        <f>IF(ISERROR(O153/O149),"–",IF(ABS(O153/O149*100)&gt;NM,"–",O153/O149*100))</f>
        <v>–</v>
      </c>
      <c r="P158" s="151" t="str">
        <f>IF(ISERROR(P153/P149),"–",IF(ABS(P153/P149*100)&gt;NM,"–",P153/P149*100))</f>
        <v>–</v>
      </c>
      <c r="Q158" s="151" t="str">
        <f>IF(ISERROR(Q153/Q149),"–",IF(ABS(Q153/Q149*100)&gt;NM,"–",Q153/Q149*100))</f>
        <v>–</v>
      </c>
      <c r="R158" s="33"/>
      <c r="S158" s="45"/>
      <c r="T158" s="33"/>
      <c r="U158" s="4"/>
      <c r="V158" s="33"/>
      <c r="W158" s="13"/>
      <c r="X158" s="59"/>
      <c r="Y158" s="59"/>
      <c r="Z158" s="59"/>
      <c r="AA158" s="244"/>
      <c r="AB158" s="47"/>
    </row>
    <row r="159" spans="1:28" ht="13.5" customHeight="1">
      <c r="A159" s="1"/>
      <c r="B159" s="245"/>
      <c r="C159" s="4" t="str">
        <f>"IWMPB – Income statement – "&amp;D159</f>
        <v>IWMPB – Income statement – Pre-tax income margin (%)</v>
      </c>
      <c r="D159" s="77" t="s">
        <v>12</v>
      </c>
      <c r="E159" s="85"/>
      <c r="F159" s="33"/>
      <c r="G159" s="151">
        <f>IF(ISERROR(G154/G149),"–",IF(ABS(G154/G149*100)&gt;NM,"–",G154/G149*100))</f>
        <v>27.06681766704417</v>
      </c>
      <c r="H159" s="151">
        <f>IF(ISERROR(H154/H149),"–",IF(ABS(H154/H149*100)&gt;NM,"–",H154/H149*100))</f>
        <v>32.038834951456316</v>
      </c>
      <c r="I159" s="151">
        <f>IF(ISERROR(I154/I149),"–",IF(ABS(I154/I149*100)&gt;NM,"–",I154/I149*100))</f>
        <v>28.965517241379313</v>
      </c>
      <c r="J159" s="151">
        <f>IF(ISERROR(J154/J149),"–",IF(ABS(J154/J149*100)&gt;NM,"–",J154/J149*100))</f>
        <v>25.568797399783318</v>
      </c>
      <c r="K159" s="151">
        <f>IF(ISERROR(K154/K149),"–",IF(ABS(K154/K149*100)&gt;NM,"–",K154/K149*100))</f>
        <v>38.446788111217636</v>
      </c>
      <c r="L159" s="151" t="str">
        <f>IF(ISERROR(L154/L149),"–",IF(ABS(L154/L149*100)&gt;NM,"–",L154/L149*100))</f>
        <v>–</v>
      </c>
      <c r="M159" s="142"/>
      <c r="N159" s="151">
        <f>IF(ISERROR(N154/N149),"–",IF(ABS(N154/N149*100)&gt;NM,"–",N154/N149*100))</f>
        <v>28.420760477379964</v>
      </c>
      <c r="O159" s="151" t="str">
        <f>IF(ISERROR(O154/O149),"–",IF(ABS(O154/O149*100)&gt;NM,"–",O154/O149*100))</f>
        <v>–</v>
      </c>
      <c r="P159" s="151" t="str">
        <f>IF(ISERROR(P154/P149),"–",IF(ABS(P154/P149*100)&gt;NM,"–",P154/P149*100))</f>
        <v>–</v>
      </c>
      <c r="Q159" s="151" t="str">
        <f>IF(ISERROR(Q154/Q149),"–",IF(ABS(Q154/Q149*100)&gt;NM,"–",Q154/Q149*100))</f>
        <v>–</v>
      </c>
      <c r="R159" s="33"/>
      <c r="S159" s="45"/>
      <c r="T159" s="31"/>
      <c r="U159" s="4"/>
      <c r="V159" s="40"/>
      <c r="W159" s="13"/>
      <c r="X159" s="59"/>
      <c r="Y159" s="59"/>
      <c r="Z159" s="59"/>
      <c r="AA159" s="244"/>
      <c r="AB159" s="47"/>
    </row>
    <row r="160" spans="1:28" ht="13.5" customHeight="1">
      <c r="A160" s="1"/>
      <c r="B160" s="246"/>
      <c r="C160" s="6"/>
      <c r="D160" s="7"/>
      <c r="E160" s="7"/>
      <c r="F160" s="33"/>
      <c r="G160" s="8"/>
      <c r="H160" s="8"/>
      <c r="I160" s="8"/>
      <c r="J160" s="8"/>
      <c r="K160" s="8"/>
      <c r="L160" s="8"/>
      <c r="M160" s="142"/>
      <c r="N160" s="8"/>
      <c r="O160" s="8"/>
      <c r="P160" s="8"/>
      <c r="Q160" s="8"/>
      <c r="R160" s="33"/>
      <c r="S160" s="423"/>
      <c r="T160" s="25"/>
      <c r="U160" s="2"/>
      <c r="V160" s="25"/>
      <c r="W160" s="2"/>
      <c r="X160" s="2"/>
      <c r="Y160" s="2"/>
      <c r="Z160" s="2"/>
      <c r="AA160" s="244"/>
      <c r="AB160" s="47"/>
    </row>
    <row r="161" spans="1:28" ht="13.5" customHeight="1">
      <c r="A161" s="1"/>
      <c r="B161" s="246"/>
      <c r="C161" s="2"/>
      <c r="D161" s="2"/>
      <c r="E161" s="2"/>
      <c r="F161" s="25"/>
      <c r="G161" s="137"/>
      <c r="H161" s="137"/>
      <c r="I161" s="137"/>
      <c r="J161" s="137"/>
      <c r="K161" s="137"/>
      <c r="L161" s="136"/>
      <c r="M161" s="159"/>
      <c r="N161" s="137"/>
      <c r="O161" s="136"/>
      <c r="P161" s="136"/>
      <c r="Q161" s="136"/>
      <c r="R161" s="25"/>
      <c r="S161" s="2"/>
      <c r="T161" s="25"/>
      <c r="U161" s="2"/>
      <c r="V161" s="25"/>
      <c r="W161" s="2"/>
      <c r="X161" s="2"/>
      <c r="Y161" s="2"/>
      <c r="Z161" s="2"/>
      <c r="AA161" s="244"/>
      <c r="AB161" s="47"/>
    </row>
    <row r="162" spans="1:28" ht="13.5" customHeight="1">
      <c r="A162" s="1"/>
      <c r="B162" s="245"/>
      <c r="C162" s="3"/>
      <c r="D162" s="3" t="s">
        <v>13</v>
      </c>
      <c r="E162" s="3"/>
      <c r="F162" s="26"/>
      <c r="G162" s="140"/>
      <c r="H162" s="140"/>
      <c r="I162" s="140"/>
      <c r="J162" s="140"/>
      <c r="K162" s="140"/>
      <c r="L162" s="138"/>
      <c r="M162" s="139"/>
      <c r="N162" s="140"/>
      <c r="O162" s="138"/>
      <c r="P162" s="138"/>
      <c r="Q162" s="138"/>
      <c r="R162" s="26"/>
      <c r="S162" s="3"/>
      <c r="T162" s="26"/>
      <c r="U162" s="3"/>
      <c r="V162" s="26"/>
      <c r="W162" s="3"/>
      <c r="X162" s="3"/>
      <c r="Y162" s="3"/>
      <c r="Z162" s="3"/>
      <c r="AA162" s="254"/>
      <c r="AB162" s="47"/>
    </row>
    <row r="163" spans="1:28" ht="13.5" customHeight="1">
      <c r="A163" s="1"/>
      <c r="B163" s="245"/>
      <c r="C163" s="4" t="str">
        <f>"IWMPB – Assets under management – "&amp;D163</f>
        <v>IWMPB – Assets under management – Assets under management (beginning of period)</v>
      </c>
      <c r="D163" s="77" t="s">
        <v>62</v>
      </c>
      <c r="E163" s="85"/>
      <c r="F163" s="30"/>
      <c r="G163" s="278">
        <v>323.2</v>
      </c>
      <c r="H163" s="278">
        <v>336.2</v>
      </c>
      <c r="I163" s="162">
        <v>336.4</v>
      </c>
      <c r="J163" s="162">
        <v>355.3</v>
      </c>
      <c r="K163" s="162">
        <v>366.9</v>
      </c>
      <c r="L163" s="160" t="str">
        <f>IF(OR(L164="–",L164=""),"–",K166)</f>
        <v>–</v>
      </c>
      <c r="M163" s="161"/>
      <c r="N163" s="160">
        <v>323.2</v>
      </c>
      <c r="O163" s="160" t="str">
        <f>IF(OR(O164="–",O164=""),"–",N166)</f>
        <v>–</v>
      </c>
      <c r="P163" s="160" t="str">
        <f>IF(OR(P164="–",P164=""),"–",O166)</f>
        <v>–</v>
      </c>
      <c r="Q163" s="160" t="str">
        <f>IF(OR(Q164="–",Q164=""),"–",P166)</f>
        <v>–</v>
      </c>
      <c r="R163" s="32"/>
      <c r="S163" s="45"/>
      <c r="T163" s="32"/>
      <c r="U163" s="38"/>
      <c r="V163" s="32"/>
      <c r="W163" s="18"/>
      <c r="X163" s="62"/>
      <c r="Y163" s="62"/>
      <c r="Z163" s="62"/>
      <c r="AA163" s="244"/>
      <c r="AB163" s="47"/>
    </row>
    <row r="164" spans="1:28" s="203" customFormat="1" ht="13.5" customHeight="1">
      <c r="A164" s="10"/>
      <c r="B164" s="245"/>
      <c r="C164" s="4" t="str">
        <f>"IWMPB – Assets under management – "&amp;D164</f>
        <v>IWMPB – Assets under management – Net new assets</v>
      </c>
      <c r="D164" s="291" t="s">
        <v>14</v>
      </c>
      <c r="E164" s="292"/>
      <c r="F164" s="30"/>
      <c r="G164" s="164">
        <v>4.7</v>
      </c>
      <c r="H164" s="164">
        <v>4.6</v>
      </c>
      <c r="I164" s="164">
        <v>3.6</v>
      </c>
      <c r="J164" s="164">
        <v>2.7</v>
      </c>
      <c r="K164" s="164">
        <v>5.5</v>
      </c>
      <c r="L164" s="165">
        <f>IF(L$27="No","–",IF(INDEX(CS_CONS_LINK_ARRAY,MATCH($C164,CS_CONS_LINK_COLUMN,0),MATCH(L$1,CS_CONS_LINK_ROW,0))="","",INDEX(CS_CONS_LINK_ARRAY,MATCH($C164,CS_CONS_LINK_COLUMN,0),MATCH(L$1,CS_CONS_LINK_ROW,0))))</f>
      </c>
      <c r="M164" s="156"/>
      <c r="N164" s="164">
        <v>15.6</v>
      </c>
      <c r="O164" s="165">
        <f>IF(O$27="No","–",IF(INDEX(CS_CONS_LINK_ARRAY,MATCH($C164,CS_CONS_LINK_COLUMN,0),MATCH(O$1,CS_CONS_LINK_ROW,0))="","",INDEX(CS_CONS_LINK_ARRAY,MATCH($C164,CS_CONS_LINK_COLUMN,0),MATCH(O$1,CS_CONS_LINK_ROW,0))))</f>
      </c>
      <c r="P164" s="165">
        <f>IF(P$27="No","–",IF(INDEX(CS_CONS_LINK_ARRAY,MATCH($C164,CS_CONS_LINK_COLUMN,0),MATCH(P$1,CS_CONS_LINK_ROW,0))="","",INDEX(CS_CONS_LINK_ARRAY,MATCH($C164,CS_CONS_LINK_COLUMN,0),MATCH(P$1,CS_CONS_LINK_ROW,0))))</f>
      </c>
      <c r="Q164" s="165">
        <f>IF(Q$27="No","–",IF(INDEX(CS_CONS_LINK_ARRAY,MATCH($C164,CS_CONS_LINK_COLUMN,0),MATCH(Q$1,CS_CONS_LINK_ROW,0))="","",INDEX(CS_CONS_LINK_ARRAY,MATCH($C164,CS_CONS_LINK_COLUMN,0),MATCH(Q$1,CS_CONS_LINK_ROW,0))))</f>
      </c>
      <c r="R164" s="31"/>
      <c r="S164" s="202"/>
      <c r="T164" s="31"/>
      <c r="U164" s="38" t="s">
        <v>26</v>
      </c>
      <c r="V164" s="27"/>
      <c r="W164" s="37">
        <f>IF(L164="–",0,IF($U164="Positive Number",IF(OR(L164&lt;0,ISTEXT(L164),ISERROR(L164)),1,0),IF(OR(ISTEXT(L164),ISERROR(L164)),1,0)))</f>
        <v>1</v>
      </c>
      <c r="X164" s="57">
        <f>IF(O164="–",0,IF($U164="Positive Number",IF(OR(O164&lt;0,ISTEXT(O164),ISERROR(O164)),1,0),IF(OR(ISTEXT(O164),ISERROR(O164)),1,0)))</f>
        <v>1</v>
      </c>
      <c r="Y164" s="57">
        <f>IF(P164="–",0,IF($U164="Positive Number",IF(OR(P164&lt;0,ISTEXT(P164),ISERROR(P164)),1,0),IF(OR(ISTEXT(P164),ISERROR(P164)),1,0)))</f>
        <v>1</v>
      </c>
      <c r="Z164" s="57">
        <f>IF(Q164="–",0,IF($U164="Positive Number",IF(OR(Q164&lt;0,ISTEXT(Q164),ISERROR(Q164)),1,0),IF(OR(ISTEXT(Q164),ISERROR(Q164)),1,0)))</f>
        <v>1</v>
      </c>
      <c r="AA164" s="244"/>
      <c r="AB164" s="64"/>
    </row>
    <row r="165" spans="1:28" ht="13.5" customHeight="1">
      <c r="A165" s="1"/>
      <c r="B165" s="246"/>
      <c r="C165" s="4" t="str">
        <f>"IWMPB – Assets under management – "&amp;D165</f>
        <v>IWMPB – Assets under management – Performance / other</v>
      </c>
      <c r="D165" s="291" t="s">
        <v>15</v>
      </c>
      <c r="E165" s="292"/>
      <c r="F165" s="30"/>
      <c r="G165" s="164">
        <f>IF(ISERROR(G166-G163-G164),"–",G166-G163-G164)</f>
        <v>8.3</v>
      </c>
      <c r="H165" s="164">
        <f>IF(ISERROR(H166-H163-H164),"–",H166-H163-H164)</f>
        <v>-4.400000000000011</v>
      </c>
      <c r="I165" s="164">
        <f>IF(ISERROR(I166-I163-I164),"–",I166-I163-I164)</f>
        <v>15.300000000000034</v>
      </c>
      <c r="J165" s="164">
        <f>IF(ISERROR(J166-J163-J164),"–",J166-J163-J164)</f>
        <v>8.899999999999967</v>
      </c>
      <c r="K165" s="164">
        <f>IF(ISERROR(K166-K163-K164),"–",K166-K163-K164)</f>
        <v>-2.3999999999999773</v>
      </c>
      <c r="L165" s="164" t="str">
        <f>IF(ISERROR(L166-L163-L164),"–",L166-L163-L164)</f>
        <v>–</v>
      </c>
      <c r="M165" s="156"/>
      <c r="N165" s="164">
        <f>IF(ISERROR(N166-N163-N164),"–",N166-N163-N164)</f>
        <v>28.099999999999987</v>
      </c>
      <c r="O165" s="164" t="str">
        <f>IF(ISERROR(O166-O163-O164),"–",O166-O163-O164)</f>
        <v>–</v>
      </c>
      <c r="P165" s="164" t="str">
        <f>IF(ISERROR(P166-P163-P164),"–",P166-P163-P164)</f>
        <v>–</v>
      </c>
      <c r="Q165" s="164" t="str">
        <f>IF(ISERROR(Q166-Q163-Q164),"–",Q166-Q163-Q164)</f>
        <v>–</v>
      </c>
      <c r="R165" s="31"/>
      <c r="S165" s="202"/>
      <c r="T165" s="30"/>
      <c r="U165" s="38"/>
      <c r="V165" s="30"/>
      <c r="W165" s="16"/>
      <c r="X165" s="61"/>
      <c r="Y165" s="61"/>
      <c r="Z165" s="61"/>
      <c r="AA165" s="244"/>
      <c r="AB165" s="47"/>
    </row>
    <row r="166" spans="1:28" ht="13.5" customHeight="1">
      <c r="A166" s="1"/>
      <c r="B166" s="245"/>
      <c r="C166" s="4" t="str">
        <f>"IWMPB – Assets under management – "&amp;D166</f>
        <v>IWMPB – Assets under management – Assets under management (end of period)</v>
      </c>
      <c r="D166" s="293" t="s">
        <v>63</v>
      </c>
      <c r="E166" s="294"/>
      <c r="F166" s="32"/>
      <c r="G166" s="162">
        <v>336.2</v>
      </c>
      <c r="H166" s="162">
        <v>336.4</v>
      </c>
      <c r="I166" s="162">
        <v>355.3</v>
      </c>
      <c r="J166" s="162">
        <v>366.9</v>
      </c>
      <c r="K166" s="162">
        <v>370</v>
      </c>
      <c r="L166" s="165">
        <f>IF(L$27="No","–",IF(INDEX(CS_CONS_LINK_ARRAY,MATCH($C166,CS_CONS_LINK_COLUMN,0),MATCH(L$1,CS_CONS_LINK_ROW,0))="","",INDEX(CS_CONS_LINK_ARRAY,MATCH($C166,CS_CONS_LINK_COLUMN,0),MATCH(L$1,CS_CONS_LINK_ROW,0))))</f>
      </c>
      <c r="M166" s="161"/>
      <c r="N166" s="162">
        <v>366.9</v>
      </c>
      <c r="O166" s="165">
        <f>IF(O$27="No","–",IF(INDEX(CS_CONS_LINK_ARRAY,MATCH($C166,CS_CONS_LINK_COLUMN,0),MATCH(O$1,CS_CONS_LINK_ROW,0))="","",INDEX(CS_CONS_LINK_ARRAY,MATCH($C166,CS_CONS_LINK_COLUMN,0),MATCH(O$1,CS_CONS_LINK_ROW,0))))</f>
      </c>
      <c r="P166" s="165">
        <f>IF(P$27="No","–",IF(INDEX(CS_CONS_LINK_ARRAY,MATCH($C166,CS_CONS_LINK_COLUMN,0),MATCH(P$1,CS_CONS_LINK_ROW,0))="","",INDEX(CS_CONS_LINK_ARRAY,MATCH($C166,CS_CONS_LINK_COLUMN,0),MATCH(P$1,CS_CONS_LINK_ROW,0))))</f>
      </c>
      <c r="Q166" s="165">
        <f>IF(Q$27="No","–",IF(INDEX(CS_CONS_LINK_ARRAY,MATCH($C166,CS_CONS_LINK_COLUMN,0),MATCH(Q$1,CS_CONS_LINK_ROW,0))="","",INDEX(CS_CONS_LINK_ARRAY,MATCH($C166,CS_CONS_LINK_COLUMN,0),MATCH(Q$1,CS_CONS_LINK_ROW,0))))</f>
      </c>
      <c r="R166" s="32"/>
      <c r="S166" s="202"/>
      <c r="T166" s="32"/>
      <c r="U166" s="38" t="s">
        <v>25</v>
      </c>
      <c r="V166" s="32"/>
      <c r="W166" s="37">
        <f>IF(L166="–",0,IF($U166="Positive Number",IF(OR(L166&lt;0,ISTEXT(L166),ISERROR(L166)),1,0),IF(OR(ISTEXT(L166),ISERROR(L166)),1,0)))</f>
        <v>1</v>
      </c>
      <c r="X166" s="57">
        <f>IF(O166="–",0,IF($U166="Positive Number",IF(OR(O166&lt;0,ISTEXT(O166),ISERROR(O166)),1,0),IF(OR(ISTEXT(O166),ISERROR(O166)),1,0)))</f>
        <v>1</v>
      </c>
      <c r="Y166" s="57">
        <f>IF(P166="–",0,IF($U166="Positive Number",IF(OR(P166&lt;0,ISTEXT(P166),ISERROR(P166)),1,0),IF(OR(ISTEXT(P166),ISERROR(P166)),1,0)))</f>
        <v>1</v>
      </c>
      <c r="Z166" s="57">
        <f>IF(Q166="–",0,IF($U166="Positive Number",IF(OR(Q166&lt;0,ISTEXT(Q166),ISERROR(Q166)),1,0),IF(OR(ISTEXT(Q166),ISERROR(Q166)),1,0)))</f>
        <v>1</v>
      </c>
      <c r="AA166" s="244"/>
      <c r="AB166" s="47"/>
    </row>
    <row r="167" spans="1:28" ht="13.5" customHeight="1" hidden="1">
      <c r="A167" s="1"/>
      <c r="B167" s="246"/>
      <c r="C167" s="4" t="str">
        <f>"IWMPB – Assets under management – "&amp;D167</f>
        <v>IWMPB – Assets under management – Average assets under management</v>
      </c>
      <c r="D167" s="82" t="s">
        <v>16</v>
      </c>
      <c r="E167" s="91"/>
      <c r="F167" s="30"/>
      <c r="G167" s="205">
        <f>IF(ISERROR(G163+G166),"–",(G163+G166)/2)</f>
        <v>329.7</v>
      </c>
      <c r="H167" s="205">
        <f>IF(ISERROR(H163+H166),"–",(H163+H166)/2)</f>
        <v>336.29999999999995</v>
      </c>
      <c r="I167" s="205">
        <f>IF(ISERROR(I163+I166),"–",(I163+I166)/2)</f>
        <v>345.85</v>
      </c>
      <c r="J167" s="205">
        <f>IF(ISERROR(J163+J166),"–",(J163+J166)/2)</f>
        <v>361.1</v>
      </c>
      <c r="K167" s="205">
        <f>IF(ISERROR(K163+K166),"–",(K163+K166)/2)</f>
        <v>368.45</v>
      </c>
      <c r="L167" s="205" t="str">
        <f>IF(ISERROR(L163+L166),"–",(L163+L166)/2)</f>
        <v>–</v>
      </c>
      <c r="M167" s="156"/>
      <c r="N167" s="205">
        <f>IF(ISERROR(N163+N166),"–",(N163+N166)/2)</f>
        <v>345.04999999999995</v>
      </c>
      <c r="O167" s="205" t="str">
        <f>IF(ISERROR(O163+O166),"–",(O163+O166)/2)</f>
        <v>–</v>
      </c>
      <c r="P167" s="205" t="str">
        <f>IF(ISERROR(P163+P166),"–",(P163+P166)/2)</f>
        <v>–</v>
      </c>
      <c r="Q167" s="205" t="str">
        <f>IF(ISERROR(Q163+Q166),"–",(Q163+Q166)/2)</f>
        <v>–</v>
      </c>
      <c r="R167" s="31"/>
      <c r="S167" s="45"/>
      <c r="T167" s="31"/>
      <c r="U167" s="38"/>
      <c r="V167" s="31"/>
      <c r="W167" s="18"/>
      <c r="X167" s="62"/>
      <c r="Y167" s="62"/>
      <c r="Z167" s="62"/>
      <c r="AA167" s="244"/>
      <c r="AB167" s="47"/>
    </row>
    <row r="168" spans="1:28" ht="13.5" customHeight="1">
      <c r="A168" s="1"/>
      <c r="B168" s="245"/>
      <c r="C168" s="6"/>
      <c r="D168" s="7"/>
      <c r="E168" s="35"/>
      <c r="F168" s="29"/>
      <c r="G168" s="155"/>
      <c r="H168" s="155"/>
      <c r="I168" s="155"/>
      <c r="J168" s="155"/>
      <c r="K168" s="155"/>
      <c r="L168" s="155"/>
      <c r="M168" s="154"/>
      <c r="N168" s="149"/>
      <c r="O168" s="149"/>
      <c r="P168" s="149"/>
      <c r="Q168" s="149"/>
      <c r="R168" s="29"/>
      <c r="S168" s="8"/>
      <c r="T168" s="29"/>
      <c r="U168" s="6"/>
      <c r="V168" s="29"/>
      <c r="W168" s="34"/>
      <c r="X168" s="8"/>
      <c r="Y168" s="8"/>
      <c r="Z168" s="8"/>
      <c r="AA168" s="244"/>
      <c r="AB168" s="47"/>
    </row>
    <row r="169" spans="1:28" s="207" customFormat="1" ht="13.5" customHeight="1">
      <c r="A169" s="1"/>
      <c r="B169" s="245"/>
      <c r="C169" s="4" t="str">
        <f>"IWMPB – Assets under management – "&amp;D169</f>
        <v>IWMPB – Assets under management – Net new asset growth (%)</v>
      </c>
      <c r="D169" s="79" t="s">
        <v>17</v>
      </c>
      <c r="E169" s="87"/>
      <c r="F169" s="30"/>
      <c r="G169" s="150">
        <f>IF(ISERROR(G164/G163),"–",G164/G163*100*(4/1))</f>
        <v>5.816831683168317</v>
      </c>
      <c r="H169" s="150">
        <f>IF(ISERROR(H164/H163),"–",H164/H163*100*(4/1))</f>
        <v>5.472932778108269</v>
      </c>
      <c r="I169" s="150">
        <f>IF(ISERROR(I164/I163),"–",I164/I163*100*(4/1))</f>
        <v>4.280618311533889</v>
      </c>
      <c r="J169" s="150">
        <f>IF(ISERROR(J164/J163),"–",J164/J163*100*(4/1))</f>
        <v>3.0396847734309036</v>
      </c>
      <c r="K169" s="150">
        <f>IF(ISERROR(K164/K163),"–",K164/K163*100*(4/1))</f>
        <v>5.996184246388662</v>
      </c>
      <c r="L169" s="150" t="str">
        <f>IF(ISERROR(L164/L163),"–",L164/L163*100*(4/1))</f>
        <v>–</v>
      </c>
      <c r="M169" s="156"/>
      <c r="N169" s="150">
        <f>IF(ISERROR(N164/N163),"–",N164/N163*100)</f>
        <v>4.826732673267327</v>
      </c>
      <c r="O169" s="150" t="str">
        <f>IF(ISERROR(O164/O163),"–",O164/O163*100)</f>
        <v>–</v>
      </c>
      <c r="P169" s="150" t="str">
        <f>IF(ISERROR(P164/P163),"–",P164/P163*100)</f>
        <v>–</v>
      </c>
      <c r="Q169" s="150" t="str">
        <f>IF(ISERROR(Q164/Q163),"–",Q164/Q163*100)</f>
        <v>–</v>
      </c>
      <c r="R169" s="30"/>
      <c r="S169" s="45"/>
      <c r="T169" s="30"/>
      <c r="U169" s="4"/>
      <c r="V169" s="30"/>
      <c r="W169" s="12"/>
      <c r="X169" s="58"/>
      <c r="Y169" s="58"/>
      <c r="Z169" s="58"/>
      <c r="AA169" s="244"/>
      <c r="AB169" s="47"/>
    </row>
    <row r="170" spans="1:28" s="207" customFormat="1" ht="13.5" customHeight="1">
      <c r="A170" s="1"/>
      <c r="B170" s="245"/>
      <c r="C170" s="4" t="str">
        <f>"IWMPB – Assets under management – "&amp;D170</f>
        <v>IWMPB – Assets under management – Performance / other growth (%)</v>
      </c>
      <c r="D170" s="79" t="s">
        <v>18</v>
      </c>
      <c r="E170" s="87"/>
      <c r="F170" s="30"/>
      <c r="G170" s="150">
        <f>IF(ISERROR(G165/G163),"–",G165/G163*100*(4/1))</f>
        <v>10.272277227722773</v>
      </c>
      <c r="H170" s="150">
        <f>IF(ISERROR(H165/H163),"–",H165/H163*100*(4/1))</f>
        <v>-5.234979179060097</v>
      </c>
      <c r="I170" s="150">
        <f>IF(ISERROR(I165/I163),"–",I165/I163*100*(4/1))</f>
        <v>18.192627824019066</v>
      </c>
      <c r="J170" s="150">
        <f>IF(ISERROR(J165/J163),"–",J165/J163*100*(4/1))</f>
        <v>10.019701660568495</v>
      </c>
      <c r="K170" s="150">
        <f>IF(ISERROR(K165/K163),"–",K165/K163*100*(4/1))</f>
        <v>-2.6165167620604826</v>
      </c>
      <c r="L170" s="150" t="str">
        <f>IF(ISERROR(L165/L163),"–",L165/L163*100*(4/1))</f>
        <v>–</v>
      </c>
      <c r="M170" s="156"/>
      <c r="N170" s="150">
        <f>IF(ISERROR(N165/N163),"–",N165/N163*100)</f>
        <v>8.694306930693067</v>
      </c>
      <c r="O170" s="150" t="str">
        <f>IF(ISERROR(O165/O163),"–",O165/O163*100)</f>
        <v>–</v>
      </c>
      <c r="P170" s="150" t="str">
        <f>IF(ISERROR(P165/P163),"–",P165/P163*100)</f>
        <v>–</v>
      </c>
      <c r="Q170" s="150" t="str">
        <f>IF(ISERROR(Q165/Q163),"–",Q165/Q163*100)</f>
        <v>–</v>
      </c>
      <c r="R170" s="30"/>
      <c r="S170" s="45"/>
      <c r="T170" s="30"/>
      <c r="U170" s="4"/>
      <c r="V170" s="30"/>
      <c r="W170" s="12"/>
      <c r="X170" s="58"/>
      <c r="Y170" s="58"/>
      <c r="Z170" s="58"/>
      <c r="AA170" s="244"/>
      <c r="AB170" s="47"/>
    </row>
    <row r="171" spans="1:28" ht="13.5" customHeight="1">
      <c r="A171" s="10"/>
      <c r="B171" s="245"/>
      <c r="C171" s="4" t="str">
        <f>"IWMPB – Assets under management – "&amp;D171</f>
        <v>IWMPB – Assets under management – Total asset growth (%)</v>
      </c>
      <c r="D171" s="80" t="s">
        <v>20</v>
      </c>
      <c r="E171" s="88"/>
      <c r="F171" s="32"/>
      <c r="G171" s="151">
        <f>IF(ISERROR(G169+G170),"–",G169+G170)</f>
        <v>16.089108910891092</v>
      </c>
      <c r="H171" s="151">
        <f>IF(ISERROR(H169+H170),"–",H169+H170)</f>
        <v>0.23795359904817204</v>
      </c>
      <c r="I171" s="151">
        <f>IF(ISERROR(I169+I170),"–",I169+I170)</f>
        <v>22.473246135552955</v>
      </c>
      <c r="J171" s="151">
        <f>IF(ISERROR(J169+J170),"–",J169+J170)</f>
        <v>13.0593864339994</v>
      </c>
      <c r="K171" s="151">
        <f>IF(ISERROR(K169+K170),"–",K169+K170)</f>
        <v>3.3796674843281793</v>
      </c>
      <c r="L171" s="151" t="str">
        <f>IF(ISERROR(L169+L170),"–",L169+L170)</f>
        <v>–</v>
      </c>
      <c r="M171" s="157"/>
      <c r="N171" s="151">
        <f>IF(ISERROR(N169+N170),"–",N169+N170)</f>
        <v>13.521039603960393</v>
      </c>
      <c r="O171" s="151" t="str">
        <f>IF(ISERROR(O169+O170),"–",O169+O170)</f>
        <v>–</v>
      </c>
      <c r="P171" s="151" t="str">
        <f>IF(ISERROR(P169+P170),"–",P169+P170)</f>
        <v>–</v>
      </c>
      <c r="Q171" s="151" t="str">
        <f>IF(ISERROR(Q169+Q170),"–",Q169+Q170)</f>
        <v>–</v>
      </c>
      <c r="R171" s="31"/>
      <c r="S171" s="45"/>
      <c r="T171" s="424"/>
      <c r="U171" s="4"/>
      <c r="V171" s="31"/>
      <c r="W171" s="13"/>
      <c r="X171" s="59"/>
      <c r="Y171" s="59"/>
      <c r="Z171" s="59"/>
      <c r="AA171" s="244"/>
      <c r="AB171" s="64"/>
    </row>
    <row r="172" spans="1:28" ht="13.5" customHeight="1">
      <c r="A172" s="1"/>
      <c r="B172" s="245"/>
      <c r="C172" s="6"/>
      <c r="D172" s="7"/>
      <c r="E172" s="35"/>
      <c r="F172" s="30"/>
      <c r="G172" s="155"/>
      <c r="H172" s="155"/>
      <c r="I172" s="155"/>
      <c r="J172" s="155"/>
      <c r="K172" s="155"/>
      <c r="L172" s="155"/>
      <c r="M172" s="154"/>
      <c r="N172" s="155"/>
      <c r="O172" s="155"/>
      <c r="P172" s="155"/>
      <c r="Q172" s="155"/>
      <c r="R172" s="29"/>
      <c r="S172" s="8"/>
      <c r="T172" s="29"/>
      <c r="U172" s="6"/>
      <c r="V172" s="29"/>
      <c r="W172" s="34"/>
      <c r="X172" s="8"/>
      <c r="Y172" s="8"/>
      <c r="Z172" s="8"/>
      <c r="AA172" s="244"/>
      <c r="AB172" s="47"/>
    </row>
    <row r="173" spans="1:28" ht="13.5" customHeight="1">
      <c r="A173" s="10"/>
      <c r="B173" s="245"/>
      <c r="C173" s="4" t="str">
        <f>"IWMPB – Assets under management – "&amp;D173</f>
        <v>IWMPB – Assets under management – Gross margin (bp)</v>
      </c>
      <c r="D173" s="77" t="s">
        <v>19</v>
      </c>
      <c r="E173" s="85"/>
      <c r="F173" s="29"/>
      <c r="G173" s="146">
        <f>IF(ISERROR(G149/G167*40),"–",G149/G167*40)</f>
        <v>107.12769184106763</v>
      </c>
      <c r="H173" s="146">
        <f>IF(ISERROR(H149/H167*40),"–",H149/H167*40)</f>
        <v>110.25869759143623</v>
      </c>
      <c r="I173" s="146">
        <f>IF(ISERROR(I149/I167*40),"–",I149/I167*40)</f>
        <v>100.62165678762469</v>
      </c>
      <c r="J173" s="146">
        <f>IF(ISERROR(J149/J167*40),"–",J149/J167*40)</f>
        <v>102.24314594295208</v>
      </c>
      <c r="K173" s="146">
        <f>IF(ISERROR(K149/K167*40),"–",K149/K167*40)</f>
        <v>113.23110327045733</v>
      </c>
      <c r="L173" s="146" t="str">
        <f>IF(ISERROR(L149/L167*40),"–",L149/L167*40)</f>
        <v>–</v>
      </c>
      <c r="M173" s="154"/>
      <c r="N173" s="146">
        <f>IF(ISERROR(N149/N167*10),"–",N149/N167*10)</f>
        <v>104.41964932618463</v>
      </c>
      <c r="O173" s="146" t="str">
        <f>IF(ISERROR(O149/O167*10),"–",O149/O167*10)</f>
        <v>–</v>
      </c>
      <c r="P173" s="146" t="str">
        <f>IF(ISERROR(P149/P167*10),"–",P149/P167*10)</f>
        <v>–</v>
      </c>
      <c r="Q173" s="146" t="str">
        <f>IF(ISERROR(Q149/Q167*10),"–",Q149/Q167*10)</f>
        <v>–</v>
      </c>
      <c r="R173" s="31"/>
      <c r="S173" s="204"/>
      <c r="T173" s="31"/>
      <c r="U173" s="38"/>
      <c r="V173" s="32"/>
      <c r="W173" s="13"/>
      <c r="X173" s="59"/>
      <c r="Y173" s="59"/>
      <c r="Z173" s="59"/>
      <c r="AA173" s="244"/>
      <c r="AB173" s="64"/>
    </row>
    <row r="174" spans="1:28" ht="13.5" customHeight="1">
      <c r="A174" s="10"/>
      <c r="B174" s="245"/>
      <c r="C174" s="4" t="str">
        <f>"IWMPB – Assets under management – "&amp;D174</f>
        <v>IWMPB – Assets under management – Net margin (bp)</v>
      </c>
      <c r="D174" s="77" t="s">
        <v>98</v>
      </c>
      <c r="E174" s="85"/>
      <c r="F174" s="29"/>
      <c r="G174" s="146">
        <f>IF(ISERROR(G154/G167*40),"–",G154/G167*40)</f>
        <v>28.996057021534728</v>
      </c>
      <c r="H174" s="146">
        <f>IF(ISERROR(H154/H167*40),"–",H154/H167*40)</f>
        <v>35.32560214094559</v>
      </c>
      <c r="I174" s="146">
        <f>IF(ISERROR(I154/I167*40),"–",I154/I167*40)</f>
        <v>29.145583345380945</v>
      </c>
      <c r="J174" s="146">
        <f>IF(ISERROR(J154/J167*40),"–",J154/J167*40)</f>
        <v>26.14234284131819</v>
      </c>
      <c r="K174" s="146">
        <f>IF(ISERROR(K154/K167*40),"–",K154/K167*40)</f>
        <v>43.53372235038676</v>
      </c>
      <c r="L174" s="146" t="str">
        <f>IF(ISERROR(L154/L167*40),"–",L154/L167*40)</f>
        <v>–</v>
      </c>
      <c r="M174" s="154"/>
      <c r="N174" s="146">
        <f>IF(ISERROR(N154/N167*10),"–",N154/N167*10)</f>
        <v>29.676858426315032</v>
      </c>
      <c r="O174" s="146" t="str">
        <f>IF(ISERROR(O154/O167*10),"–",O154/O167*10)</f>
        <v>–</v>
      </c>
      <c r="P174" s="146" t="str">
        <f>IF(ISERROR(P154/P167*10),"–",P154/P167*10)</f>
        <v>–</v>
      </c>
      <c r="Q174" s="146" t="str">
        <f>IF(ISERROR(Q154/Q167*10),"–",Q154/Q167*10)</f>
        <v>–</v>
      </c>
      <c r="R174" s="31"/>
      <c r="S174" s="204"/>
      <c r="T174" s="31"/>
      <c r="U174" s="38"/>
      <c r="V174" s="32"/>
      <c r="W174" s="13"/>
      <c r="X174" s="59"/>
      <c r="Y174" s="59"/>
      <c r="Z174" s="59"/>
      <c r="AA174" s="244"/>
      <c r="AB174" s="64"/>
    </row>
    <row r="175" spans="1:28" ht="13.5" customHeight="1">
      <c r="A175" s="1"/>
      <c r="B175" s="305"/>
      <c r="C175" s="306"/>
      <c r="D175" s="435"/>
      <c r="E175" s="435"/>
      <c r="F175" s="436"/>
      <c r="G175" s="437"/>
      <c r="H175" s="437"/>
      <c r="I175" s="437"/>
      <c r="J175" s="437"/>
      <c r="K175" s="437"/>
      <c r="L175" s="437"/>
      <c r="M175" s="437"/>
      <c r="N175" s="437"/>
      <c r="O175" s="437"/>
      <c r="P175" s="437"/>
      <c r="Q175" s="437"/>
      <c r="R175" s="436"/>
      <c r="S175" s="436"/>
      <c r="T175" s="438"/>
      <c r="U175" s="306"/>
      <c r="V175" s="438"/>
      <c r="W175" s="438"/>
      <c r="X175" s="438"/>
      <c r="Y175" s="438"/>
      <c r="Z175" s="438"/>
      <c r="AA175" s="245"/>
      <c r="AB175" s="47"/>
    </row>
    <row r="176" spans="1:28" ht="27" customHeight="1">
      <c r="A176" s="1"/>
      <c r="B176" s="305"/>
      <c r="C176" s="432"/>
      <c r="D176" s="433" t="s">
        <v>179</v>
      </c>
      <c r="E176" s="433"/>
      <c r="F176" s="251"/>
      <c r="G176" s="434"/>
      <c r="H176" s="434"/>
      <c r="I176" s="434"/>
      <c r="J176" s="434"/>
      <c r="K176" s="434"/>
      <c r="L176" s="434"/>
      <c r="M176" s="434"/>
      <c r="N176" s="434"/>
      <c r="O176" s="434"/>
      <c r="P176" s="434"/>
      <c r="Q176" s="434"/>
      <c r="R176" s="251"/>
      <c r="S176" s="251"/>
      <c r="T176" s="251"/>
      <c r="U176" s="432"/>
      <c r="V176" s="251"/>
      <c r="W176" s="251"/>
      <c r="X176" s="251"/>
      <c r="Y176" s="251"/>
      <c r="Z176" s="251"/>
      <c r="AA176" s="245"/>
      <c r="AB176" s="47"/>
    </row>
    <row r="177" spans="1:28" ht="13.5" customHeight="1">
      <c r="A177" s="1"/>
      <c r="B177" s="244"/>
      <c r="C177" s="2"/>
      <c r="D177" s="2"/>
      <c r="E177" s="2"/>
      <c r="F177" s="2"/>
      <c r="G177" s="137"/>
      <c r="H177" s="137"/>
      <c r="I177" s="137"/>
      <c r="J177" s="137"/>
      <c r="K177" s="137"/>
      <c r="L177" s="136"/>
      <c r="M177" s="136"/>
      <c r="N177" s="137"/>
      <c r="O177" s="136"/>
      <c r="P177" s="136"/>
      <c r="Q177" s="136"/>
      <c r="R177" s="2"/>
      <c r="S177" s="2"/>
      <c r="T177" s="2"/>
      <c r="U177" s="2"/>
      <c r="V177" s="2"/>
      <c r="W177" s="2"/>
      <c r="X177" s="2"/>
      <c r="Y177" s="2"/>
      <c r="Z177" s="2"/>
      <c r="AA177" s="244"/>
      <c r="AB177" s="47"/>
    </row>
    <row r="178" spans="1:28" ht="13.5" customHeight="1">
      <c r="A178" s="1"/>
      <c r="B178" s="245"/>
      <c r="C178" s="3"/>
      <c r="D178" s="3" t="s">
        <v>0</v>
      </c>
      <c r="E178" s="3"/>
      <c r="F178" s="26"/>
      <c r="G178" s="140"/>
      <c r="H178" s="140"/>
      <c r="I178" s="140"/>
      <c r="J178" s="140"/>
      <c r="K178" s="140"/>
      <c r="L178" s="138"/>
      <c r="M178" s="139"/>
      <c r="N178" s="140"/>
      <c r="O178" s="138"/>
      <c r="P178" s="138"/>
      <c r="Q178" s="138"/>
      <c r="R178" s="26"/>
      <c r="S178" s="3"/>
      <c r="T178" s="26"/>
      <c r="U178" s="3"/>
      <c r="V178" s="26"/>
      <c r="W178" s="3"/>
      <c r="X178" s="3"/>
      <c r="Y178" s="3"/>
      <c r="Z178" s="3"/>
      <c r="AA178" s="244"/>
      <c r="AB178" s="47"/>
    </row>
    <row r="179" spans="1:28" ht="13.5" customHeight="1">
      <c r="A179" s="1"/>
      <c r="B179" s="245"/>
      <c r="C179" s="4" t="str">
        <f aca="true" t="shared" si="38" ref="C179:C187">"IWMAM – Income statement – "&amp;D179</f>
        <v>IWMAM – Income statement – Management fees</v>
      </c>
      <c r="D179" s="218" t="s">
        <v>226</v>
      </c>
      <c r="E179" s="290"/>
      <c r="F179" s="33"/>
      <c r="G179" s="170">
        <v>254</v>
      </c>
      <c r="H179" s="170">
        <v>269</v>
      </c>
      <c r="I179" s="170">
        <v>278</v>
      </c>
      <c r="J179" s="170">
        <v>283</v>
      </c>
      <c r="K179" s="170">
        <v>267</v>
      </c>
      <c r="L179" s="141">
        <f>IF(L$27="No","–",IF(INDEX(CS_CONS_LINK_ARRAY,MATCH($C179,CS_CONS_LINK_COLUMN,0),MATCH(L$1,CS_CONS_LINK_ROW,0))="","",INDEX(CS_CONS_LINK_ARRAY,MATCH($C179,CS_CONS_LINK_COLUMN,0),MATCH(L$1,CS_CONS_LINK_ROW,0))))</f>
      </c>
      <c r="M179" s="142"/>
      <c r="N179" s="170">
        <v>1084</v>
      </c>
      <c r="O179" s="141">
        <f aca="true" t="shared" si="39" ref="O179:Q181">IF(O$27="No","–",IF(INDEX(CS_CONS_LINK_ARRAY,MATCH($C179,CS_CONS_LINK_COLUMN,0),MATCH(O$1,CS_CONS_LINK_ROW,0))="","",INDEX(CS_CONS_LINK_ARRAY,MATCH($C179,CS_CONS_LINK_COLUMN,0),MATCH(O$1,CS_CONS_LINK_ROW,0))))</f>
      </c>
      <c r="P179" s="141">
        <f t="shared" si="39"/>
      </c>
      <c r="Q179" s="141">
        <f t="shared" si="39"/>
      </c>
      <c r="R179" s="33"/>
      <c r="S179" s="45"/>
      <c r="T179" s="33"/>
      <c r="U179" s="38" t="s">
        <v>26</v>
      </c>
      <c r="V179" s="33"/>
      <c r="W179" s="37">
        <f aca="true" t="shared" si="40" ref="W179:W186">IF(L179="–",0,IF($U179="Positive Number",IF(OR(L179&lt;0,ISTEXT(L179),ISERROR(L179)),1,0),IF(OR(ISTEXT(L179),ISERROR(L179)),1,0)))</f>
        <v>1</v>
      </c>
      <c r="X179" s="57">
        <f aca="true" t="shared" si="41" ref="X179:Z186">IF(O179="–",0,IF($U179="Positive Number",IF(OR(O179&lt;0,ISTEXT(O179),ISERROR(O179)),1,0),IF(OR(ISTEXT(O179),ISERROR(O179)),1,0)))</f>
        <v>1</v>
      </c>
      <c r="Y179" s="57">
        <f t="shared" si="41"/>
        <v>1</v>
      </c>
      <c r="Z179" s="57">
        <f t="shared" si="41"/>
        <v>1</v>
      </c>
      <c r="AA179" s="254"/>
      <c r="AB179" s="47"/>
    </row>
    <row r="180" spans="1:28" ht="13.5" customHeight="1">
      <c r="A180" s="1"/>
      <c r="B180" s="245"/>
      <c r="C180" s="4" t="str">
        <f t="shared" si="38"/>
        <v>IWMAM – Income statement – Performance and placement revenues</v>
      </c>
      <c r="D180" s="218" t="s">
        <v>227</v>
      </c>
      <c r="E180" s="290"/>
      <c r="F180" s="33"/>
      <c r="G180" s="170">
        <v>42</v>
      </c>
      <c r="H180" s="170">
        <v>32</v>
      </c>
      <c r="I180" s="170">
        <v>63</v>
      </c>
      <c r="J180" s="170">
        <v>145</v>
      </c>
      <c r="K180" s="170">
        <v>27</v>
      </c>
      <c r="L180" s="141">
        <f>IF(L$27="No","–",IF(INDEX(CS_CONS_LINK_ARRAY,MATCH($C180,CS_CONS_LINK_COLUMN,0),MATCH(L$1,CS_CONS_LINK_ROW,0))="","",INDEX(CS_CONS_LINK_ARRAY,MATCH($C180,CS_CONS_LINK_COLUMN,0),MATCH(L$1,CS_CONS_LINK_ROW,0))))</f>
      </c>
      <c r="M180" s="142"/>
      <c r="N180" s="170">
        <v>282</v>
      </c>
      <c r="O180" s="141">
        <f t="shared" si="39"/>
      </c>
      <c r="P180" s="141">
        <f t="shared" si="39"/>
      </c>
      <c r="Q180" s="141">
        <f t="shared" si="39"/>
      </c>
      <c r="R180" s="33"/>
      <c r="S180" s="45"/>
      <c r="T180" s="33"/>
      <c r="U180" s="38" t="s">
        <v>26</v>
      </c>
      <c r="V180" s="33"/>
      <c r="W180" s="37">
        <f t="shared" si="40"/>
        <v>1</v>
      </c>
      <c r="X180" s="57">
        <f t="shared" si="41"/>
        <v>1</v>
      </c>
      <c r="Y180" s="57">
        <f t="shared" si="41"/>
        <v>1</v>
      </c>
      <c r="Z180" s="57">
        <f t="shared" si="41"/>
        <v>1</v>
      </c>
      <c r="AA180" s="254"/>
      <c r="AB180" s="47"/>
    </row>
    <row r="181" spans="1:28" s="207" customFormat="1" ht="13.5" customHeight="1">
      <c r="A181" s="1"/>
      <c r="B181" s="245"/>
      <c r="C181" s="4" t="str">
        <f t="shared" si="38"/>
        <v>IWMAM – Income statement – Investment and partnership income</v>
      </c>
      <c r="D181" s="218" t="s">
        <v>228</v>
      </c>
      <c r="E181" s="290"/>
      <c r="F181" s="33"/>
      <c r="G181" s="170">
        <v>42</v>
      </c>
      <c r="H181" s="170">
        <v>36</v>
      </c>
      <c r="I181" s="170">
        <v>51</v>
      </c>
      <c r="J181" s="170">
        <v>13</v>
      </c>
      <c r="K181" s="170">
        <v>66</v>
      </c>
      <c r="L181" s="141">
        <f>IF(L$27="No","–",IF(INDEX(CS_CONS_LINK_ARRAY,MATCH($C181,CS_CONS_LINK_COLUMN,0),MATCH(L$1,CS_CONS_LINK_ROW,0))="","",INDEX(CS_CONS_LINK_ARRAY,MATCH($C181,CS_CONS_LINK_COLUMN,0),MATCH(L$1,CS_CONS_LINK_ROW,0))))</f>
      </c>
      <c r="M181" s="142"/>
      <c r="N181" s="170">
        <v>142</v>
      </c>
      <c r="O181" s="141">
        <f t="shared" si="39"/>
      </c>
      <c r="P181" s="141">
        <f t="shared" si="39"/>
      </c>
      <c r="Q181" s="141">
        <f t="shared" si="39"/>
      </c>
      <c r="R181" s="33"/>
      <c r="S181" s="45"/>
      <c r="T181" s="33"/>
      <c r="U181" s="237" t="s">
        <v>26</v>
      </c>
      <c r="V181" s="33"/>
      <c r="W181" s="238">
        <f t="shared" si="40"/>
        <v>1</v>
      </c>
      <c r="X181" s="239">
        <f t="shared" si="41"/>
        <v>1</v>
      </c>
      <c r="Y181" s="239">
        <f t="shared" si="41"/>
        <v>1</v>
      </c>
      <c r="Z181" s="239">
        <f t="shared" si="41"/>
        <v>1</v>
      </c>
      <c r="AA181" s="244"/>
      <c r="AB181" s="47"/>
    </row>
    <row r="182" spans="1:28" ht="13.5" customHeight="1">
      <c r="A182" s="1"/>
      <c r="B182" s="245"/>
      <c r="C182" s="4" t="str">
        <f t="shared" si="38"/>
        <v>IWMAM – Income statement – Net revenues</v>
      </c>
      <c r="D182" s="288" t="s">
        <v>1</v>
      </c>
      <c r="E182" s="289"/>
      <c r="F182" s="33"/>
      <c r="G182" s="277">
        <f>IF(ISERROR(G179+G180+G181),"–",G179+G180+G181)</f>
        <v>338</v>
      </c>
      <c r="H182" s="277">
        <f>IF(ISERROR(H179+H180+H181),"–",H179+H180+H181)</f>
        <v>337</v>
      </c>
      <c r="I182" s="277">
        <f>IF(ISERROR(I179+I180+I181),"–",I179+I180+I181)</f>
        <v>392</v>
      </c>
      <c r="J182" s="277">
        <f>IF(ISERROR(J179+J180+J181),"–",J179+J180+J181)</f>
        <v>441</v>
      </c>
      <c r="K182" s="277">
        <f>IF(ISERROR(K179+K180+K181),"–",K179+K180+K181)</f>
        <v>360</v>
      </c>
      <c r="L182" s="277" t="str">
        <f>IF(ISERROR(L179+L180+L181),"–",L179+L180+L181)</f>
        <v>–</v>
      </c>
      <c r="M182" s="142"/>
      <c r="N182" s="277">
        <f>IF(ISERROR(N179+N180+N181),"–",N179+N180+N181)</f>
        <v>1508</v>
      </c>
      <c r="O182" s="277" t="str">
        <f>IF(ISERROR(O179+O180+O181),"–",O179+O180+O181)</f>
        <v>–</v>
      </c>
      <c r="P182" s="277" t="str">
        <f>IF(ISERROR(P179+P180+P181),"–",P179+P180+P181)</f>
        <v>–</v>
      </c>
      <c r="Q182" s="277" t="str">
        <f>IF(ISERROR(Q179+Q180+Q181),"–",Q179+Q180+Q181)</f>
        <v>–</v>
      </c>
      <c r="R182" s="33"/>
      <c r="S182" s="45"/>
      <c r="T182" s="33"/>
      <c r="U182" s="38" t="s">
        <v>25</v>
      </c>
      <c r="V182" s="27"/>
      <c r="W182" s="37">
        <f t="shared" si="40"/>
        <v>0</v>
      </c>
      <c r="X182" s="57">
        <f t="shared" si="41"/>
        <v>0</v>
      </c>
      <c r="Y182" s="57">
        <f t="shared" si="41"/>
        <v>0</v>
      </c>
      <c r="Z182" s="57">
        <f t="shared" si="41"/>
        <v>0</v>
      </c>
      <c r="AA182" s="244"/>
      <c r="AB182" s="47"/>
    </row>
    <row r="183" spans="1:28" ht="13.5" customHeight="1">
      <c r="A183" s="10"/>
      <c r="B183" s="245"/>
      <c r="C183" s="4" t="str">
        <f t="shared" si="38"/>
        <v>IWMAM – Income statement – Provision for credit losses</v>
      </c>
      <c r="D183" s="288" t="s">
        <v>5</v>
      </c>
      <c r="E183" s="289"/>
      <c r="F183" s="33"/>
      <c r="G183" s="145">
        <v>0</v>
      </c>
      <c r="H183" s="145">
        <v>0</v>
      </c>
      <c r="I183" s="145">
        <v>0</v>
      </c>
      <c r="J183" s="145">
        <v>0</v>
      </c>
      <c r="K183" s="145">
        <v>0</v>
      </c>
      <c r="L183" s="147">
        <f>IF(L$27="No","–",IF(INDEX(CS_CONS_LINK_ARRAY,MATCH($C183,CS_CONS_LINK_COLUMN,0),MATCH(L$1,CS_CONS_LINK_ROW,0))="","",INDEX(CS_CONS_LINK_ARRAY,MATCH($C183,CS_CONS_LINK_COLUMN,0),MATCH(L$1,CS_CONS_LINK_ROW,0))))</f>
      </c>
      <c r="M183" s="142"/>
      <c r="N183" s="145">
        <v>0</v>
      </c>
      <c r="O183" s="147">
        <f aca="true" t="shared" si="42" ref="O183:Q185">IF(O$27="No","–",IF(INDEX(CS_CONS_LINK_ARRAY,MATCH($C183,CS_CONS_LINK_COLUMN,0),MATCH(O$1,CS_CONS_LINK_ROW,0))="","",INDEX(CS_CONS_LINK_ARRAY,MATCH($C183,CS_CONS_LINK_COLUMN,0),MATCH(O$1,CS_CONS_LINK_ROW,0))))</f>
      </c>
      <c r="P183" s="147">
        <f t="shared" si="42"/>
      </c>
      <c r="Q183" s="147">
        <f t="shared" si="42"/>
      </c>
      <c r="R183" s="33"/>
      <c r="S183" s="45"/>
      <c r="T183" s="33"/>
      <c r="U183" s="38" t="s">
        <v>26</v>
      </c>
      <c r="V183" s="27"/>
      <c r="W183" s="37">
        <f t="shared" si="40"/>
        <v>1</v>
      </c>
      <c r="X183" s="57">
        <f t="shared" si="41"/>
        <v>1</v>
      </c>
      <c r="Y183" s="57">
        <f t="shared" si="41"/>
        <v>1</v>
      </c>
      <c r="Z183" s="57">
        <f t="shared" si="41"/>
        <v>1</v>
      </c>
      <c r="AA183" s="244"/>
      <c r="AB183" s="64"/>
    </row>
    <row r="184" spans="1:28" ht="13.5" customHeight="1">
      <c r="A184" s="1"/>
      <c r="B184" s="245"/>
      <c r="C184" s="4" t="str">
        <f t="shared" si="38"/>
        <v>IWMAM – Income statement – Compensation and benefits</v>
      </c>
      <c r="D184" s="76" t="s">
        <v>6</v>
      </c>
      <c r="E184" s="84"/>
      <c r="F184" s="33"/>
      <c r="G184" s="170">
        <v>178</v>
      </c>
      <c r="H184" s="170">
        <v>171</v>
      </c>
      <c r="I184" s="170">
        <v>171</v>
      </c>
      <c r="J184" s="170">
        <v>218</v>
      </c>
      <c r="K184" s="170">
        <v>176</v>
      </c>
      <c r="L184" s="141">
        <f>IF(L$27="No","–",IF(INDEX(CS_CONS_LINK_ARRAY,MATCH($C184,CS_CONS_LINK_COLUMN,0),MATCH(L$1,CS_CONS_LINK_ROW,0))="","",INDEX(CS_CONS_LINK_ARRAY,MATCH($C184,CS_CONS_LINK_COLUMN,0),MATCH(L$1,CS_CONS_LINK_ROW,0))))</f>
      </c>
      <c r="M184" s="142"/>
      <c r="N184" s="170">
        <v>726</v>
      </c>
      <c r="O184" s="141">
        <f t="shared" si="42"/>
      </c>
      <c r="P184" s="141">
        <f t="shared" si="42"/>
      </c>
      <c r="Q184" s="141">
        <f t="shared" si="42"/>
      </c>
      <c r="R184" s="33"/>
      <c r="S184" s="45"/>
      <c r="T184" s="33"/>
      <c r="U184" s="38" t="s">
        <v>25</v>
      </c>
      <c r="V184" s="33"/>
      <c r="W184" s="37">
        <f t="shared" si="40"/>
        <v>1</v>
      </c>
      <c r="X184" s="57">
        <f t="shared" si="41"/>
        <v>1</v>
      </c>
      <c r="Y184" s="57">
        <f t="shared" si="41"/>
        <v>1</v>
      </c>
      <c r="Z184" s="57">
        <f t="shared" si="41"/>
        <v>1</v>
      </c>
      <c r="AA184" s="244"/>
      <c r="AB184" s="47"/>
    </row>
    <row r="185" spans="1:28" ht="13.5" customHeight="1">
      <c r="A185" s="1"/>
      <c r="B185" s="245"/>
      <c r="C185" s="4" t="str">
        <f t="shared" si="38"/>
        <v>IWMAM – Income statement – Total other operating expenses</v>
      </c>
      <c r="D185" s="76" t="s">
        <v>137</v>
      </c>
      <c r="E185" s="84"/>
      <c r="F185" s="33"/>
      <c r="G185" s="170">
        <v>108</v>
      </c>
      <c r="H185" s="170">
        <v>98</v>
      </c>
      <c r="I185" s="170">
        <v>118</v>
      </c>
      <c r="J185" s="170">
        <v>119</v>
      </c>
      <c r="K185" s="170">
        <v>101</v>
      </c>
      <c r="L185" s="141">
        <f>IF(L$27="No","–",IF(INDEX(CS_CONS_LINK_ARRAY,MATCH($C185,CS_CONS_LINK_COLUMN,0),MATCH(L$1,CS_CONS_LINK_ROW,0))="","",INDEX(CS_CONS_LINK_ARRAY,MATCH($C185,CS_CONS_LINK_COLUMN,0),MATCH(L$1,CS_CONS_LINK_ROW,0))))</f>
      </c>
      <c r="M185" s="142"/>
      <c r="N185" s="170">
        <v>455</v>
      </c>
      <c r="O185" s="141">
        <f t="shared" si="42"/>
      </c>
      <c r="P185" s="141">
        <f t="shared" si="42"/>
      </c>
      <c r="Q185" s="141">
        <f t="shared" si="42"/>
      </c>
      <c r="R185" s="33"/>
      <c r="S185" s="45"/>
      <c r="T185" s="33"/>
      <c r="U185" s="38" t="s">
        <v>25</v>
      </c>
      <c r="V185" s="33"/>
      <c r="W185" s="37">
        <f t="shared" si="40"/>
        <v>1</v>
      </c>
      <c r="X185" s="57">
        <f t="shared" si="41"/>
        <v>1</v>
      </c>
      <c r="Y185" s="57">
        <f t="shared" si="41"/>
        <v>1</v>
      </c>
      <c r="Z185" s="57">
        <f t="shared" si="41"/>
        <v>1</v>
      </c>
      <c r="AA185" s="244"/>
      <c r="AB185" s="47"/>
    </row>
    <row r="186" spans="1:28" ht="13.5" customHeight="1">
      <c r="A186" s="1"/>
      <c r="B186" s="245"/>
      <c r="C186" s="4" t="str">
        <f t="shared" si="38"/>
        <v>IWMAM – Income statement – Total operating expenses</v>
      </c>
      <c r="D186" s="288" t="s">
        <v>7</v>
      </c>
      <c r="E186" s="289"/>
      <c r="F186" s="33"/>
      <c r="G186" s="277">
        <f>IF(ISERROR(G184+G185),"–",G184+G185)</f>
        <v>286</v>
      </c>
      <c r="H186" s="277">
        <f>IF(ISERROR(H184+H185),"–",H184+H185)</f>
        <v>269</v>
      </c>
      <c r="I186" s="277">
        <f>IF(ISERROR(I184+I185),"–",I184+I185)</f>
        <v>289</v>
      </c>
      <c r="J186" s="277">
        <f>IF(ISERROR(J184+J185),"–",J184+J185)</f>
        <v>337</v>
      </c>
      <c r="K186" s="277">
        <f>IF(ISERROR(K184+K185),"–",K184+K185)</f>
        <v>277</v>
      </c>
      <c r="L186" s="277" t="str">
        <f>IF(ISERROR(L184+L185),"–",L184+L185)</f>
        <v>–</v>
      </c>
      <c r="M186" s="142"/>
      <c r="N186" s="277">
        <f>IF(ISERROR(N184+N185),"–",N184+N185)</f>
        <v>1181</v>
      </c>
      <c r="O186" s="277" t="str">
        <f>IF(ISERROR(O184+O185),"–",O184+O185)</f>
        <v>–</v>
      </c>
      <c r="P186" s="277" t="str">
        <f>IF(ISERROR(P184+P185),"–",P184+P185)</f>
        <v>–</v>
      </c>
      <c r="Q186" s="277" t="str">
        <f>IF(ISERROR(Q184+Q185),"–",Q184+Q185)</f>
        <v>–</v>
      </c>
      <c r="R186" s="33"/>
      <c r="S186" s="45"/>
      <c r="T186" s="33"/>
      <c r="U186" s="38" t="s">
        <v>26</v>
      </c>
      <c r="V186" s="27"/>
      <c r="W186" s="37">
        <f t="shared" si="40"/>
        <v>0</v>
      </c>
      <c r="X186" s="57">
        <f t="shared" si="41"/>
        <v>0</v>
      </c>
      <c r="Y186" s="57">
        <f t="shared" si="41"/>
        <v>0</v>
      </c>
      <c r="Z186" s="57">
        <f t="shared" si="41"/>
        <v>0</v>
      </c>
      <c r="AA186" s="244"/>
      <c r="AB186" s="47"/>
    </row>
    <row r="187" spans="1:28" ht="13.5" customHeight="1">
      <c r="A187" s="1"/>
      <c r="B187" s="245"/>
      <c r="C187" s="4" t="str">
        <f t="shared" si="38"/>
        <v>IWMAM – Income statement – Income from continuing operations before taxes</v>
      </c>
      <c r="D187" s="75" t="s">
        <v>8</v>
      </c>
      <c r="E187" s="83"/>
      <c r="F187" s="33"/>
      <c r="G187" s="145">
        <f>IF(ISERROR(G182-G183-G186),"–",G182-G183-G186)</f>
        <v>52</v>
      </c>
      <c r="H187" s="145">
        <f>IF(ISERROR(H182-H183-H186),"–",H182-H183-H186)</f>
        <v>68</v>
      </c>
      <c r="I187" s="145">
        <f>IF(ISERROR(I182-I183-I186),"–",I182-I183-I186)</f>
        <v>103</v>
      </c>
      <c r="J187" s="145">
        <f>IF(ISERROR(J182-J183-J186),"–",J182-J183-J186)</f>
        <v>104</v>
      </c>
      <c r="K187" s="145">
        <f>IF(ISERROR(K182-K183-K186),"–",K182-K183-K186)</f>
        <v>83</v>
      </c>
      <c r="L187" s="145" t="str">
        <f>IF(ISERROR(L182-L183-L186),"–",L182-L183-L186)</f>
        <v>–</v>
      </c>
      <c r="M187" s="142"/>
      <c r="N187" s="145">
        <f>IF(ISERROR(N182-N183-N186),"–",N182-N183-N186)</f>
        <v>327</v>
      </c>
      <c r="O187" s="145" t="str">
        <f>IF(ISERROR(O182-O183-O186),"–",O182-O183-O186)</f>
        <v>–</v>
      </c>
      <c r="P187" s="145" t="str">
        <f>IF(ISERROR(P182-P183-P186),"–",P182-P183-P186)</f>
        <v>–</v>
      </c>
      <c r="Q187" s="145" t="str">
        <f>IF(ISERROR(Q182-Q183-Q186),"–",Q182-Q183-Q186)</f>
        <v>–</v>
      </c>
      <c r="R187" s="33"/>
      <c r="S187" s="45"/>
      <c r="T187" s="33"/>
      <c r="U187" s="4"/>
      <c r="V187" s="33"/>
      <c r="W187" s="5"/>
      <c r="X187" s="54"/>
      <c r="Y187" s="54"/>
      <c r="Z187" s="54"/>
      <c r="AA187" s="244"/>
      <c r="AB187" s="47"/>
    </row>
    <row r="188" spans="1:28" ht="13.5" customHeight="1">
      <c r="A188" s="1"/>
      <c r="B188" s="245"/>
      <c r="C188" s="6"/>
      <c r="D188" s="7"/>
      <c r="E188" s="7"/>
      <c r="F188" s="33"/>
      <c r="G188" s="8"/>
      <c r="H188" s="8"/>
      <c r="I188" s="8"/>
      <c r="J188" s="8"/>
      <c r="K188" s="8"/>
      <c r="L188" s="8"/>
      <c r="M188" s="142"/>
      <c r="N188" s="8"/>
      <c r="O188" s="8"/>
      <c r="P188" s="8"/>
      <c r="Q188" s="8"/>
      <c r="R188" s="33"/>
      <c r="S188" s="8"/>
      <c r="T188" s="33"/>
      <c r="U188" s="6"/>
      <c r="V188" s="33"/>
      <c r="W188" s="8"/>
      <c r="X188" s="8"/>
      <c r="Y188" s="8"/>
      <c r="Z188" s="8"/>
      <c r="AA188" s="244"/>
      <c r="AB188" s="47"/>
    </row>
    <row r="189" spans="1:28" ht="13.5" customHeight="1" hidden="1">
      <c r="A189" s="1"/>
      <c r="B189" s="245"/>
      <c r="C189" s="4" t="str">
        <f>"IWMAM – Income statement – "&amp;D189</f>
        <v>IWMAM – Income statement – Compensation ratio (%)</v>
      </c>
      <c r="D189" s="82" t="s">
        <v>9</v>
      </c>
      <c r="E189" s="91"/>
      <c r="F189" s="33"/>
      <c r="G189" s="151">
        <f>IF(ISERROR(G184/G182),"–",IF(ABS(G184/G182*100)&gt;NM,"–",G184/G182*100))</f>
        <v>52.662721893491124</v>
      </c>
      <c r="H189" s="151">
        <f>IF(ISERROR(H184/H182),"–",IF(ABS(H184/H182*100)&gt;NM,"–",H184/H182*100))</f>
        <v>50.74183976261127</v>
      </c>
      <c r="I189" s="151">
        <f>IF(ISERROR(I184/I182),"–",IF(ABS(I184/I182*100)&gt;NM,"–",I184/I182*100))</f>
        <v>43.62244897959184</v>
      </c>
      <c r="J189" s="151">
        <f>IF(ISERROR(J184/J182),"–",IF(ABS(J184/J182*100)&gt;NM,"–",J184/J182*100))</f>
        <v>49.43310657596372</v>
      </c>
      <c r="K189" s="151">
        <f>IF(ISERROR(K184/K182),"–",IF(ABS(K184/K182*100)&gt;NM,"–",K184/K182*100))</f>
        <v>48.888888888888886</v>
      </c>
      <c r="L189" s="151" t="str">
        <f>IF(ISERROR(L184/L182),"–",IF(ABS(L184/L182*100)&gt;NM,"–",L184/L182*100))</f>
        <v>–</v>
      </c>
      <c r="M189" s="142"/>
      <c r="N189" s="151">
        <f>IF(ISERROR(N184/N182),"–",IF(ABS(N184/N182*100)&gt;NM,"–",N184/N182*100))</f>
        <v>48.143236074270554</v>
      </c>
      <c r="O189" s="151" t="str">
        <f>IF(ISERROR(O184/O182),"–",IF(ABS(O184/O182*100)&gt;NM,"–",O184/O182*100))</f>
        <v>–</v>
      </c>
      <c r="P189" s="151" t="str">
        <f>IF(ISERROR(P184/P182),"–",IF(ABS(P184/P182*100)&gt;NM,"–",P184/P182*100))</f>
        <v>–</v>
      </c>
      <c r="Q189" s="151" t="str">
        <f>IF(ISERROR(Q184/Q182),"–",IF(ABS(Q184/Q182*100)&gt;NM,"–",Q184/Q182*100))</f>
        <v>–</v>
      </c>
      <c r="R189" s="33"/>
      <c r="S189" s="45"/>
      <c r="T189" s="33"/>
      <c r="U189" s="4"/>
      <c r="V189" s="33"/>
      <c r="W189" s="12"/>
      <c r="X189" s="58"/>
      <c r="Y189" s="58"/>
      <c r="Z189" s="58"/>
      <c r="AA189" s="244"/>
      <c r="AB189" s="47"/>
    </row>
    <row r="190" spans="1:28" ht="13.5" customHeight="1" hidden="1">
      <c r="A190" s="1"/>
      <c r="B190" s="245"/>
      <c r="C190" s="4" t="str">
        <f>"IWMAM – Income statement – "&amp;D190</f>
        <v>IWMAM – Income statement – Non-compensation ratio (%)</v>
      </c>
      <c r="D190" s="82" t="s">
        <v>10</v>
      </c>
      <c r="E190" s="91"/>
      <c r="F190" s="33"/>
      <c r="G190" s="151">
        <f>IF(ISERROR(G185/G182),"–",IF(ABS(G185/G182*100)&gt;NM,"–",G185/G182*100))</f>
        <v>31.952662721893493</v>
      </c>
      <c r="H190" s="151">
        <f>IF(ISERROR(H185/H182),"–",IF(ABS(H185/H182*100)&gt;NM,"–",H185/H182*100))</f>
        <v>29.080118694362017</v>
      </c>
      <c r="I190" s="151">
        <f>IF(ISERROR(I185/I182),"–",IF(ABS(I185/I182*100)&gt;NM,"–",I185/I182*100))</f>
        <v>30.102040816326532</v>
      </c>
      <c r="J190" s="151">
        <f>IF(ISERROR(J185/J182),"–",IF(ABS(J185/J182*100)&gt;NM,"–",J185/J182*100))</f>
        <v>26.984126984126984</v>
      </c>
      <c r="K190" s="151">
        <f>IF(ISERROR(K185/K182),"–",IF(ABS(K185/K182*100)&gt;NM,"–",K185/K182*100))</f>
        <v>28.055555555555557</v>
      </c>
      <c r="L190" s="151" t="str">
        <f>IF(ISERROR(L185/L182),"–",IF(ABS(L185/L182*100)&gt;NM,"–",L185/L182*100))</f>
        <v>–</v>
      </c>
      <c r="M190" s="142"/>
      <c r="N190" s="151">
        <f>IF(ISERROR(N185/N182),"–",IF(ABS(N185/N182*100)&gt;NM,"–",N185/N182*100))</f>
        <v>30.17241379310345</v>
      </c>
      <c r="O190" s="151" t="str">
        <f>IF(ISERROR(O185/O182),"–",IF(ABS(O185/O182*100)&gt;NM,"–",O185/O182*100))</f>
        <v>–</v>
      </c>
      <c r="P190" s="151" t="str">
        <f>IF(ISERROR(P185/P182),"–",IF(ABS(P185/P182*100)&gt;NM,"–",P185/P182*100))</f>
        <v>–</v>
      </c>
      <c r="Q190" s="151" t="str">
        <f>IF(ISERROR(Q185/Q182),"–",IF(ABS(Q185/Q182*100)&gt;NM,"–",Q185/Q182*100))</f>
        <v>–</v>
      </c>
      <c r="R190" s="33"/>
      <c r="S190" s="45"/>
      <c r="T190" s="33"/>
      <c r="U190" s="4"/>
      <c r="V190" s="33"/>
      <c r="W190" s="12"/>
      <c r="X190" s="58"/>
      <c r="Y190" s="58"/>
      <c r="Z190" s="58"/>
      <c r="AA190" s="244"/>
      <c r="AB190" s="47"/>
    </row>
    <row r="191" spans="1:28" ht="13.5" customHeight="1">
      <c r="A191" s="1"/>
      <c r="B191" s="245"/>
      <c r="C191" s="4" t="str">
        <f>"IWMAM – Income statement – "&amp;D191</f>
        <v>IWMAM – Income statement – Cost / income ratio (%)</v>
      </c>
      <c r="D191" s="77" t="s">
        <v>11</v>
      </c>
      <c r="E191" s="85"/>
      <c r="F191" s="33"/>
      <c r="G191" s="151">
        <f>IF(ISERROR(G186/G182),"–",IF(ABS(G186/G182*100)&gt;NM,"–",G186/G182*100))</f>
        <v>84.61538461538461</v>
      </c>
      <c r="H191" s="151">
        <f>IF(ISERROR(H186/H182),"–",IF(ABS(H186/H182*100)&gt;NM,"–",H186/H182*100))</f>
        <v>79.82195845697329</v>
      </c>
      <c r="I191" s="151">
        <f>IF(ISERROR(I186/I182),"–",IF(ABS(I186/I182*100)&gt;NM,"–",I186/I182*100))</f>
        <v>73.72448979591837</v>
      </c>
      <c r="J191" s="151">
        <f>IF(ISERROR(J186/J182),"–",IF(ABS(J186/J182*100)&gt;NM,"–",J186/J182*100))</f>
        <v>76.41723356009071</v>
      </c>
      <c r="K191" s="151">
        <f>IF(ISERROR(K186/K182),"–",IF(ABS(K186/K182*100)&gt;NM,"–",K186/K182*100))</f>
        <v>76.94444444444444</v>
      </c>
      <c r="L191" s="151" t="str">
        <f>IF(ISERROR(L186/L182),"–",IF(ABS(L186/L182*100)&gt;NM,"–",L186/L182*100))</f>
        <v>–</v>
      </c>
      <c r="M191" s="142"/>
      <c r="N191" s="151">
        <f>IF(ISERROR(N186/N182),"–",IF(ABS(N186/N182*100)&gt;NM,"–",N186/N182*100))</f>
        <v>78.315649867374</v>
      </c>
      <c r="O191" s="151" t="str">
        <f>IF(ISERROR(O186/O182),"–",IF(ABS(O186/O182*100)&gt;NM,"–",O186/O182*100))</f>
        <v>–</v>
      </c>
      <c r="P191" s="151" t="str">
        <f>IF(ISERROR(P186/P182),"–",IF(ABS(P186/P182*100)&gt;NM,"–",P186/P182*100))</f>
        <v>–</v>
      </c>
      <c r="Q191" s="151" t="str">
        <f>IF(ISERROR(Q186/Q182),"–",IF(ABS(Q186/Q182*100)&gt;NM,"–",Q186/Q182*100))</f>
        <v>–</v>
      </c>
      <c r="R191" s="33"/>
      <c r="S191" s="45"/>
      <c r="T191" s="33"/>
      <c r="U191" s="4"/>
      <c r="V191" s="33"/>
      <c r="W191" s="13"/>
      <c r="X191" s="59"/>
      <c r="Y191" s="59"/>
      <c r="Z191" s="59"/>
      <c r="AA191" s="244"/>
      <c r="AB191" s="47"/>
    </row>
    <row r="192" spans="1:28" ht="13.5" customHeight="1">
      <c r="A192" s="1"/>
      <c r="B192" s="245"/>
      <c r="C192" s="4" t="str">
        <f>"IWMAM – Income statement – "&amp;D192</f>
        <v>IWMAM – Income statement – Pre-tax income margin (%)</v>
      </c>
      <c r="D192" s="77" t="s">
        <v>12</v>
      </c>
      <c r="E192" s="85"/>
      <c r="F192" s="33"/>
      <c r="G192" s="151">
        <f>IF(ISERROR(G187/G182),"–",IF(ABS(G187/G182*100)&gt;NM,"–",G187/G182*100))</f>
        <v>15.384615384615385</v>
      </c>
      <c r="H192" s="151">
        <f>IF(ISERROR(H187/H182),"–",IF(ABS(H187/H182*100)&gt;NM,"–",H187/H182*100))</f>
        <v>20.178041543026705</v>
      </c>
      <c r="I192" s="151">
        <f>IF(ISERROR(I187/I182),"–",IF(ABS(I187/I182*100)&gt;NM,"–",I187/I182*100))</f>
        <v>26.27551020408163</v>
      </c>
      <c r="J192" s="151">
        <f>IF(ISERROR(J187/J182),"–",IF(ABS(J187/J182*100)&gt;NM,"–",J187/J182*100))</f>
        <v>23.582766439909296</v>
      </c>
      <c r="K192" s="151">
        <f>IF(ISERROR(K187/K182),"–",IF(ABS(K187/K182*100)&gt;NM,"–",K187/K182*100))</f>
        <v>23.055555555555557</v>
      </c>
      <c r="L192" s="151" t="str">
        <f>IF(ISERROR(L187/L182),"–",IF(ABS(L187/L182*100)&gt;NM,"–",L187/L182*100))</f>
        <v>–</v>
      </c>
      <c r="M192" s="142"/>
      <c r="N192" s="151">
        <f>IF(ISERROR(N187/N182),"–",IF(ABS(N187/N182*100)&gt;NM,"–",N187/N182*100))</f>
        <v>21.684350132625994</v>
      </c>
      <c r="O192" s="151" t="str">
        <f>IF(ISERROR(O187/O182),"–",IF(ABS(O187/O182*100)&gt;NM,"–",O187/O182*100))</f>
        <v>–</v>
      </c>
      <c r="P192" s="151" t="str">
        <f>IF(ISERROR(P187/P182),"–",IF(ABS(P187/P182*100)&gt;NM,"–",P187/P182*100))</f>
        <v>–</v>
      </c>
      <c r="Q192" s="151" t="str">
        <f>IF(ISERROR(Q187/Q182),"–",IF(ABS(Q187/Q182*100)&gt;NM,"–",Q187/Q182*100))</f>
        <v>–</v>
      </c>
      <c r="R192" s="33"/>
      <c r="S192" s="45"/>
      <c r="T192" s="31"/>
      <c r="U192" s="4"/>
      <c r="V192" s="40"/>
      <c r="W192" s="13"/>
      <c r="X192" s="59"/>
      <c r="Y192" s="59"/>
      <c r="Z192" s="59"/>
      <c r="AA192" s="244"/>
      <c r="AB192" s="47"/>
    </row>
    <row r="193" spans="1:28" ht="13.5" customHeight="1">
      <c r="A193" s="1"/>
      <c r="B193" s="246"/>
      <c r="C193" s="6"/>
      <c r="D193" s="7"/>
      <c r="E193" s="7"/>
      <c r="F193" s="33"/>
      <c r="G193" s="8"/>
      <c r="H193" s="8"/>
      <c r="I193" s="8"/>
      <c r="J193" s="8"/>
      <c r="K193" s="8"/>
      <c r="L193" s="8"/>
      <c r="M193" s="142"/>
      <c r="N193" s="8"/>
      <c r="O193" s="8"/>
      <c r="P193" s="8"/>
      <c r="Q193" s="8"/>
      <c r="R193" s="33"/>
      <c r="S193" s="8"/>
      <c r="T193" s="33"/>
      <c r="U193" s="2"/>
      <c r="V193" s="25"/>
      <c r="W193" s="2"/>
      <c r="X193" s="2"/>
      <c r="Y193" s="2"/>
      <c r="Z193" s="2"/>
      <c r="AA193" s="244"/>
      <c r="AB193" s="47"/>
    </row>
    <row r="194" spans="1:28" ht="13.5" customHeight="1">
      <c r="A194" s="1"/>
      <c r="B194" s="246"/>
      <c r="C194" s="2"/>
      <c r="D194" s="2"/>
      <c r="E194" s="2"/>
      <c r="F194" s="25"/>
      <c r="G194" s="137"/>
      <c r="H194" s="137"/>
      <c r="I194" s="137"/>
      <c r="J194" s="137"/>
      <c r="K194" s="137"/>
      <c r="L194" s="136"/>
      <c r="M194" s="159"/>
      <c r="N194" s="137"/>
      <c r="O194" s="136"/>
      <c r="P194" s="136"/>
      <c r="Q194" s="136"/>
      <c r="R194" s="25"/>
      <c r="S194" s="2"/>
      <c r="T194" s="25"/>
      <c r="U194" s="2"/>
      <c r="V194" s="25"/>
      <c r="W194" s="2"/>
      <c r="X194" s="2"/>
      <c r="Y194" s="2"/>
      <c r="Z194" s="2"/>
      <c r="AA194" s="244"/>
      <c r="AB194" s="47"/>
    </row>
    <row r="195" spans="1:28" ht="13.5" customHeight="1">
      <c r="A195" s="1"/>
      <c r="B195" s="245"/>
      <c r="C195" s="3"/>
      <c r="D195" s="3" t="s">
        <v>13</v>
      </c>
      <c r="E195" s="3"/>
      <c r="F195" s="26"/>
      <c r="G195" s="140"/>
      <c r="H195" s="140"/>
      <c r="I195" s="140"/>
      <c r="J195" s="140"/>
      <c r="K195" s="140"/>
      <c r="L195" s="138"/>
      <c r="M195" s="139"/>
      <c r="N195" s="140"/>
      <c r="O195" s="138"/>
      <c r="P195" s="138"/>
      <c r="Q195" s="138"/>
      <c r="R195" s="26"/>
      <c r="S195" s="3"/>
      <c r="T195" s="26"/>
      <c r="U195" s="3"/>
      <c r="V195" s="26"/>
      <c r="W195" s="3"/>
      <c r="X195" s="3"/>
      <c r="Y195" s="3"/>
      <c r="Z195" s="3"/>
      <c r="AA195" s="254"/>
      <c r="AB195" s="47"/>
    </row>
    <row r="196" spans="1:28" ht="13.5" customHeight="1">
      <c r="A196" s="1"/>
      <c r="B196" s="245"/>
      <c r="C196" s="4" t="str">
        <f>"IWMAM – Assets under management – "&amp;D196</f>
        <v>IWMAM – Assets under management – Assets under management (beginning of period)</v>
      </c>
      <c r="D196" s="77" t="s">
        <v>62</v>
      </c>
      <c r="E196" s="85"/>
      <c r="F196" s="30"/>
      <c r="G196" s="278">
        <v>321.6</v>
      </c>
      <c r="H196" s="278">
        <v>367.1</v>
      </c>
      <c r="I196" s="162">
        <v>366</v>
      </c>
      <c r="J196" s="162">
        <v>376.3</v>
      </c>
      <c r="K196" s="162">
        <v>385.6</v>
      </c>
      <c r="L196" s="160" t="str">
        <f>IF(OR(L197="–",L197=""),"–",K199)</f>
        <v>–</v>
      </c>
      <c r="M196" s="161"/>
      <c r="N196" s="160">
        <v>321.6</v>
      </c>
      <c r="O196" s="160" t="str">
        <f>IF(OR(O197="–",O197=""),"–",N199)</f>
        <v>–</v>
      </c>
      <c r="P196" s="160" t="str">
        <f>IF(OR(P197="–",P197=""),"–",O199)</f>
        <v>–</v>
      </c>
      <c r="Q196" s="160" t="str">
        <f>IF(OR(Q197="–",Q197=""),"–",P199)</f>
        <v>–</v>
      </c>
      <c r="R196" s="32"/>
      <c r="S196" s="45"/>
      <c r="T196" s="32"/>
      <c r="U196" s="38"/>
      <c r="V196" s="32"/>
      <c r="W196" s="18"/>
      <c r="X196" s="62"/>
      <c r="Y196" s="62"/>
      <c r="Z196" s="62"/>
      <c r="AA196" s="244"/>
      <c r="AB196" s="47"/>
    </row>
    <row r="197" spans="1:28" s="203" customFormat="1" ht="13.5" customHeight="1">
      <c r="A197" s="10"/>
      <c r="B197" s="245"/>
      <c r="C197" s="4" t="str">
        <f>"IWMAM – Assets under management – "&amp;D197</f>
        <v>IWMAM – Assets under management – Net new assets</v>
      </c>
      <c r="D197" s="291" t="s">
        <v>14</v>
      </c>
      <c r="E197" s="292"/>
      <c r="F197" s="30"/>
      <c r="G197" s="164">
        <v>15</v>
      </c>
      <c r="H197" s="164">
        <v>2.8</v>
      </c>
      <c r="I197" s="164">
        <v>1.1</v>
      </c>
      <c r="J197" s="164">
        <v>1.4</v>
      </c>
      <c r="K197" s="164">
        <v>9</v>
      </c>
      <c r="L197" s="165">
        <f>IF(L$27="No","–",IF(INDEX(CS_CONS_LINK_ARRAY,MATCH($C197,CS_CONS_LINK_COLUMN,0),MATCH(L$1,CS_CONS_LINK_ROW,0))="","",INDEX(CS_CONS_LINK_ARRAY,MATCH($C197,CS_CONS_LINK_COLUMN,0),MATCH(L$1,CS_CONS_LINK_ROW,0))))</f>
      </c>
      <c r="M197" s="156"/>
      <c r="N197" s="164">
        <v>20.3</v>
      </c>
      <c r="O197" s="165">
        <f>IF(O$27="No","–",IF(INDEX(CS_CONS_LINK_ARRAY,MATCH($C197,CS_CONS_LINK_COLUMN,0),MATCH(O$1,CS_CONS_LINK_ROW,0))="","",INDEX(CS_CONS_LINK_ARRAY,MATCH($C197,CS_CONS_LINK_COLUMN,0),MATCH(O$1,CS_CONS_LINK_ROW,0))))</f>
      </c>
      <c r="P197" s="165">
        <f>IF(P$27="No","–",IF(INDEX(CS_CONS_LINK_ARRAY,MATCH($C197,CS_CONS_LINK_COLUMN,0),MATCH(P$1,CS_CONS_LINK_ROW,0))="","",INDEX(CS_CONS_LINK_ARRAY,MATCH($C197,CS_CONS_LINK_COLUMN,0),MATCH(P$1,CS_CONS_LINK_ROW,0))))</f>
      </c>
      <c r="Q197" s="165">
        <f>IF(Q$27="No","–",IF(INDEX(CS_CONS_LINK_ARRAY,MATCH($C197,CS_CONS_LINK_COLUMN,0),MATCH(Q$1,CS_CONS_LINK_ROW,0))="","",INDEX(CS_CONS_LINK_ARRAY,MATCH($C197,CS_CONS_LINK_COLUMN,0),MATCH(Q$1,CS_CONS_LINK_ROW,0))))</f>
      </c>
      <c r="R197" s="31"/>
      <c r="S197" s="202"/>
      <c r="T197" s="31"/>
      <c r="U197" s="38" t="s">
        <v>26</v>
      </c>
      <c r="V197" s="27"/>
      <c r="W197" s="37">
        <f>IF(L197="–",0,IF($U197="Positive Number",IF(OR(L197&lt;0,ISTEXT(L197),ISERROR(L197)),1,0),IF(OR(ISTEXT(L197),ISERROR(L197)),1,0)))</f>
        <v>1</v>
      </c>
      <c r="X197" s="57">
        <f>IF(O197="–",0,IF($U197="Positive Number",IF(OR(O197&lt;0,ISTEXT(O197),ISERROR(O197)),1,0),IF(OR(ISTEXT(O197),ISERROR(O197)),1,0)))</f>
        <v>1</v>
      </c>
      <c r="Y197" s="57">
        <f>IF(P197="–",0,IF($U197="Positive Number",IF(OR(P197&lt;0,ISTEXT(P197),ISERROR(P197)),1,0),IF(OR(ISTEXT(P197),ISERROR(P197)),1,0)))</f>
        <v>1</v>
      </c>
      <c r="Z197" s="57">
        <f>IF(Q197="–",0,IF($U197="Positive Number",IF(OR(Q197&lt;0,ISTEXT(Q197),ISERROR(Q197)),1,0),IF(OR(ISTEXT(Q197),ISERROR(Q197)),1,0)))</f>
        <v>1</v>
      </c>
      <c r="AA197" s="244"/>
      <c r="AB197" s="64"/>
    </row>
    <row r="198" spans="1:28" ht="13.5" customHeight="1">
      <c r="A198" s="1"/>
      <c r="B198" s="246"/>
      <c r="C198" s="4" t="str">
        <f>"IWMAM – Assets under management – "&amp;D198</f>
        <v>IWMAM – Assets under management – Performance / other</v>
      </c>
      <c r="D198" s="291" t="s">
        <v>15</v>
      </c>
      <c r="E198" s="292"/>
      <c r="F198" s="30"/>
      <c r="G198" s="164">
        <f>IF(ISERROR(G199-G196-G197),"–",G199-G196-G197)</f>
        <v>30.5</v>
      </c>
      <c r="H198" s="164">
        <f>IF(ISERROR(H199-H196-H197),"–",H199-H196-H197)</f>
        <v>-3.9000000000000226</v>
      </c>
      <c r="I198" s="164">
        <f>IF(ISERROR(I199-I196-I197),"–",I199-I196-I197)</f>
        <v>9.200000000000012</v>
      </c>
      <c r="J198" s="164">
        <f>IF(ISERROR(J199-J196-J197),"–",J199-J196-J197)</f>
        <v>7.900000000000011</v>
      </c>
      <c r="K198" s="164">
        <f>IF(ISERROR(K199-K196-K197),"–",K199-K196-K197)</f>
        <v>-3.400000000000034</v>
      </c>
      <c r="L198" s="164" t="str">
        <f>IF(ISERROR(L199-L196-L197),"–",L199-L196-L197)</f>
        <v>–</v>
      </c>
      <c r="M198" s="156"/>
      <c r="N198" s="164">
        <f>IF(ISERROR(N199-N196-N197),"–",N199-N196-N197)</f>
        <v>43.7</v>
      </c>
      <c r="O198" s="164" t="str">
        <f>IF(ISERROR(O199-O196-O197),"–",O199-O196-O197)</f>
        <v>–</v>
      </c>
      <c r="P198" s="164" t="str">
        <f>IF(ISERROR(P199-P196-P197),"–",P199-P196-P197)</f>
        <v>–</v>
      </c>
      <c r="Q198" s="164" t="str">
        <f>IF(ISERROR(Q199-Q196-Q197),"–",Q199-Q196-Q197)</f>
        <v>–</v>
      </c>
      <c r="R198" s="31"/>
      <c r="S198" s="202"/>
      <c r="T198" s="30"/>
      <c r="U198" s="38"/>
      <c r="V198" s="30"/>
      <c r="W198" s="16"/>
      <c r="X198" s="61"/>
      <c r="Y198" s="61"/>
      <c r="Z198" s="61"/>
      <c r="AA198" s="244"/>
      <c r="AB198" s="47"/>
    </row>
    <row r="199" spans="1:28" ht="13.5" customHeight="1">
      <c r="A199" s="1"/>
      <c r="B199" s="245"/>
      <c r="C199" s="4" t="str">
        <f>"IWMAM – Assets under management – "&amp;D199</f>
        <v>IWMAM – Assets under management – Assets under management (end of period)</v>
      </c>
      <c r="D199" s="293" t="s">
        <v>63</v>
      </c>
      <c r="E199" s="294"/>
      <c r="F199" s="32"/>
      <c r="G199" s="162">
        <v>367.1</v>
      </c>
      <c r="H199" s="162">
        <v>366</v>
      </c>
      <c r="I199" s="162">
        <v>376.3</v>
      </c>
      <c r="J199" s="162">
        <v>385.6</v>
      </c>
      <c r="K199" s="162">
        <v>391.2</v>
      </c>
      <c r="L199" s="165">
        <f>IF(L$27="No","–",IF(INDEX(CS_CONS_LINK_ARRAY,MATCH($C199,CS_CONS_LINK_COLUMN,0),MATCH(L$1,CS_CONS_LINK_ROW,0))="","",INDEX(CS_CONS_LINK_ARRAY,MATCH($C199,CS_CONS_LINK_COLUMN,0),MATCH(L$1,CS_CONS_LINK_ROW,0))))</f>
      </c>
      <c r="M199" s="161"/>
      <c r="N199" s="162">
        <v>385.6</v>
      </c>
      <c r="O199" s="165">
        <f>IF(O$27="No","–",IF(INDEX(CS_CONS_LINK_ARRAY,MATCH($C199,CS_CONS_LINK_COLUMN,0),MATCH(O$1,CS_CONS_LINK_ROW,0))="","",INDEX(CS_CONS_LINK_ARRAY,MATCH($C199,CS_CONS_LINK_COLUMN,0),MATCH(O$1,CS_CONS_LINK_ROW,0))))</f>
      </c>
      <c r="P199" s="165">
        <f>IF(P$27="No","–",IF(INDEX(CS_CONS_LINK_ARRAY,MATCH($C199,CS_CONS_LINK_COLUMN,0),MATCH(P$1,CS_CONS_LINK_ROW,0))="","",INDEX(CS_CONS_LINK_ARRAY,MATCH($C199,CS_CONS_LINK_COLUMN,0),MATCH(P$1,CS_CONS_LINK_ROW,0))))</f>
      </c>
      <c r="Q199" s="165">
        <f>IF(Q$27="No","–",IF(INDEX(CS_CONS_LINK_ARRAY,MATCH($C199,CS_CONS_LINK_COLUMN,0),MATCH(Q$1,CS_CONS_LINK_ROW,0))="","",INDEX(CS_CONS_LINK_ARRAY,MATCH($C199,CS_CONS_LINK_COLUMN,0),MATCH(Q$1,CS_CONS_LINK_ROW,0))))</f>
      </c>
      <c r="R199" s="32"/>
      <c r="S199" s="202"/>
      <c r="T199" s="32"/>
      <c r="U199" s="38" t="s">
        <v>25</v>
      </c>
      <c r="V199" s="32"/>
      <c r="W199" s="37">
        <f>IF(L199="–",0,IF($U199="Positive Number",IF(OR(L199&lt;0,ISTEXT(L199),ISERROR(L199)),1,0),IF(OR(ISTEXT(L199),ISERROR(L199)),1,0)))</f>
        <v>1</v>
      </c>
      <c r="X199" s="57">
        <f>IF(O199="–",0,IF($U199="Positive Number",IF(OR(O199&lt;0,ISTEXT(O199),ISERROR(O199)),1,0),IF(OR(ISTEXT(O199),ISERROR(O199)),1,0)))</f>
        <v>1</v>
      </c>
      <c r="Y199" s="57">
        <f>IF(P199="–",0,IF($U199="Positive Number",IF(OR(P199&lt;0,ISTEXT(P199),ISERROR(P199)),1,0),IF(OR(ISTEXT(P199),ISERROR(P199)),1,0)))</f>
        <v>1</v>
      </c>
      <c r="Z199" s="57">
        <f>IF(Q199="–",0,IF($U199="Positive Number",IF(OR(Q199&lt;0,ISTEXT(Q199),ISERROR(Q199)),1,0),IF(OR(ISTEXT(Q199),ISERROR(Q199)),1,0)))</f>
        <v>1</v>
      </c>
      <c r="AA199" s="244"/>
      <c r="AB199" s="47"/>
    </row>
    <row r="200" spans="1:28" ht="13.5" customHeight="1" hidden="1">
      <c r="A200" s="1"/>
      <c r="B200" s="246"/>
      <c r="C200" s="4" t="str">
        <f>"IWMAM – Assets under management – "&amp;D200</f>
        <v>IWMAM – Assets under management – Average assets under management</v>
      </c>
      <c r="D200" s="82" t="s">
        <v>16</v>
      </c>
      <c r="E200" s="91"/>
      <c r="F200" s="30"/>
      <c r="G200" s="205">
        <f>IF(ISERROR(G196+G199),"–",(G196+G199)/2)</f>
        <v>344.35</v>
      </c>
      <c r="H200" s="205">
        <f>IF(ISERROR(H196+H199),"–",(H196+H199)/2)</f>
        <v>366.55</v>
      </c>
      <c r="I200" s="205">
        <f>IF(ISERROR(I196+I199),"–",(I196+I199)/2)</f>
        <v>371.15</v>
      </c>
      <c r="J200" s="205">
        <f>IF(ISERROR(J196+J199),"–",(J196+J199)/2)</f>
        <v>380.95000000000005</v>
      </c>
      <c r="K200" s="205">
        <f>IF(ISERROR(K196+K199),"–",(K196+K199)/2)</f>
        <v>388.4</v>
      </c>
      <c r="L200" s="205" t="str">
        <f>IF(ISERROR(L196+L199),"–",(L196+L199)/2)</f>
        <v>–</v>
      </c>
      <c r="M200" s="156"/>
      <c r="N200" s="205">
        <f>IF(ISERROR(N196+N199),"–",(N196+N199)/2)</f>
        <v>353.6</v>
      </c>
      <c r="O200" s="205" t="str">
        <f>IF(ISERROR(O196+O199),"–",(O196+O199)/2)</f>
        <v>–</v>
      </c>
      <c r="P200" s="205" t="str">
        <f>IF(ISERROR(P196+P199),"–",(P196+P199)/2)</f>
        <v>–</v>
      </c>
      <c r="Q200" s="205" t="str">
        <f>IF(ISERROR(Q196+Q199),"–",(Q196+Q199)/2)</f>
        <v>–</v>
      </c>
      <c r="R200" s="31"/>
      <c r="S200" s="45"/>
      <c r="T200" s="31"/>
      <c r="U200" s="38"/>
      <c r="V200" s="31"/>
      <c r="W200" s="18"/>
      <c r="X200" s="62"/>
      <c r="Y200" s="62"/>
      <c r="Z200" s="62"/>
      <c r="AA200" s="244"/>
      <c r="AB200" s="47"/>
    </row>
    <row r="201" spans="1:28" ht="13.5" customHeight="1">
      <c r="A201" s="1"/>
      <c r="B201" s="245"/>
      <c r="C201" s="6"/>
      <c r="D201" s="7"/>
      <c r="E201" s="35"/>
      <c r="F201" s="29"/>
      <c r="G201" s="155"/>
      <c r="H201" s="155"/>
      <c r="I201" s="155"/>
      <c r="J201" s="155"/>
      <c r="K201" s="155"/>
      <c r="L201" s="155"/>
      <c r="M201" s="154"/>
      <c r="N201" s="149"/>
      <c r="O201" s="149"/>
      <c r="P201" s="149"/>
      <c r="Q201" s="149"/>
      <c r="R201" s="29"/>
      <c r="S201" s="8"/>
      <c r="T201" s="29"/>
      <c r="U201" s="6"/>
      <c r="V201" s="29"/>
      <c r="W201" s="34"/>
      <c r="X201" s="8"/>
      <c r="Y201" s="8"/>
      <c r="Z201" s="8"/>
      <c r="AA201" s="244"/>
      <c r="AB201" s="47"/>
    </row>
    <row r="202" spans="1:28" s="207" customFormat="1" ht="13.5" customHeight="1">
      <c r="A202" s="1"/>
      <c r="B202" s="245"/>
      <c r="C202" s="4" t="str">
        <f>"IWMAM – Assets under management – "&amp;D202</f>
        <v>IWMAM – Assets under management – Net new asset growth (%)</v>
      </c>
      <c r="D202" s="79" t="s">
        <v>17</v>
      </c>
      <c r="E202" s="87"/>
      <c r="F202" s="30"/>
      <c r="G202" s="150">
        <f>IF(ISERROR(G197/G196),"–",G197/G196*100*(4/1))</f>
        <v>18.656716417910445</v>
      </c>
      <c r="H202" s="150">
        <f>IF(ISERROR(H197/H196),"–",H197/H196*100*(4/1))</f>
        <v>3.0509397984200484</v>
      </c>
      <c r="I202" s="150">
        <f>IF(ISERROR(I197/I196),"–",I197/I196*100*(4/1))</f>
        <v>1.2021857923497268</v>
      </c>
      <c r="J202" s="150">
        <f>IF(ISERROR(J197/J196),"–",J197/J196*100*(4/1))</f>
        <v>1.4881743289928246</v>
      </c>
      <c r="K202" s="150">
        <f>IF(ISERROR(K197/K196),"–",K197/K196*100*(4/1))</f>
        <v>9.336099585062241</v>
      </c>
      <c r="L202" s="150" t="str">
        <f>IF(ISERROR(L197/L196),"–",L197/L196*100*(4/1))</f>
        <v>–</v>
      </c>
      <c r="M202" s="156"/>
      <c r="N202" s="150">
        <f>IF(ISERROR(N197/N196),"–",N197/N196*100)</f>
        <v>6.3121890547263675</v>
      </c>
      <c r="O202" s="150" t="str">
        <f>IF(ISERROR(O197/O196),"–",O197/O196*100)</f>
        <v>–</v>
      </c>
      <c r="P202" s="150" t="str">
        <f>IF(ISERROR(P197/P196),"–",P197/P196*100)</f>
        <v>–</v>
      </c>
      <c r="Q202" s="150" t="str">
        <f>IF(ISERROR(Q197/Q196),"–",Q197/Q196*100)</f>
        <v>–</v>
      </c>
      <c r="R202" s="30"/>
      <c r="S202" s="45"/>
      <c r="T202" s="30"/>
      <c r="U202" s="4"/>
      <c r="V202" s="30"/>
      <c r="W202" s="12"/>
      <c r="X202" s="58"/>
      <c r="Y202" s="58"/>
      <c r="Z202" s="58"/>
      <c r="AA202" s="244"/>
      <c r="AB202" s="47"/>
    </row>
    <row r="203" spans="1:28" s="207" customFormat="1" ht="13.5" customHeight="1">
      <c r="A203" s="1"/>
      <c r="B203" s="245"/>
      <c r="C203" s="4" t="str">
        <f>"IWMAM – Assets under management – "&amp;D203</f>
        <v>IWMAM – Assets under management – Performance / other growth (%)</v>
      </c>
      <c r="D203" s="79" t="s">
        <v>18</v>
      </c>
      <c r="E203" s="87"/>
      <c r="F203" s="30"/>
      <c r="G203" s="150">
        <f>IF(ISERROR(G198/G196),"–",G198/G196*100*(4/1))</f>
        <v>37.93532338308457</v>
      </c>
      <c r="H203" s="150">
        <f>IF(ISERROR(H198/H196),"–",H198/H196*100*(4/1))</f>
        <v>-4.249523290656521</v>
      </c>
      <c r="I203" s="150">
        <f>IF(ISERROR(I198/I196),"–",I198/I196*100*(4/1))</f>
        <v>10.054644808743182</v>
      </c>
      <c r="J203" s="150">
        <f>IF(ISERROR(J198/J196),"–",J198/J196*100*(4/1))</f>
        <v>8.39755514217381</v>
      </c>
      <c r="K203" s="150">
        <f>IF(ISERROR(K198/K196),"–",K198/K196*100*(4/1))</f>
        <v>-3.526970954356882</v>
      </c>
      <c r="L203" s="150" t="str">
        <f>IF(ISERROR(L198/L196),"–",L198/L196*100*(4/1))</f>
        <v>–</v>
      </c>
      <c r="M203" s="156"/>
      <c r="N203" s="150">
        <f>IF(ISERROR(N198/N196),"–",N198/N196*100)</f>
        <v>13.588308457711443</v>
      </c>
      <c r="O203" s="150" t="str">
        <f>IF(ISERROR(O198/O196),"–",O198/O196*100)</f>
        <v>–</v>
      </c>
      <c r="P203" s="150" t="str">
        <f>IF(ISERROR(P198/P196),"–",P198/P196*100)</f>
        <v>–</v>
      </c>
      <c r="Q203" s="150" t="str">
        <f>IF(ISERROR(Q198/Q196),"–",Q198/Q196*100)</f>
        <v>–</v>
      </c>
      <c r="R203" s="30"/>
      <c r="S203" s="45"/>
      <c r="T203" s="30"/>
      <c r="U203" s="4"/>
      <c r="V203" s="30"/>
      <c r="W203" s="12"/>
      <c r="X203" s="58"/>
      <c r="Y203" s="58"/>
      <c r="Z203" s="58"/>
      <c r="AA203" s="244"/>
      <c r="AB203" s="47"/>
    </row>
    <row r="204" spans="1:28" ht="13.5" customHeight="1">
      <c r="A204" s="10"/>
      <c r="B204" s="245"/>
      <c r="C204" s="4" t="str">
        <f>"IWMAM – Assets under management – "&amp;D204</f>
        <v>IWMAM – Assets under management – Total asset growth (%)</v>
      </c>
      <c r="D204" s="80" t="s">
        <v>20</v>
      </c>
      <c r="E204" s="88"/>
      <c r="F204" s="32"/>
      <c r="G204" s="151">
        <f>IF(ISERROR(G202+G203),"–",G202+G203)</f>
        <v>56.59203980099502</v>
      </c>
      <c r="H204" s="151">
        <f>IF(ISERROR(H202+H203),"–",H202+H203)</f>
        <v>-1.1985834922364726</v>
      </c>
      <c r="I204" s="151">
        <f>IF(ISERROR(I202+I203),"–",I202+I203)</f>
        <v>11.25683060109291</v>
      </c>
      <c r="J204" s="151">
        <f>IF(ISERROR(J202+J203),"–",J202+J203)</f>
        <v>9.885729471166634</v>
      </c>
      <c r="K204" s="151">
        <f>IF(ISERROR(K202+K203),"–",K202+K203)</f>
        <v>5.809128630705359</v>
      </c>
      <c r="L204" s="151" t="str">
        <f>IF(ISERROR(L202+L203),"–",L202+L203)</f>
        <v>–</v>
      </c>
      <c r="M204" s="157"/>
      <c r="N204" s="151">
        <f>IF(ISERROR(N202+N203),"–",N202+N203)</f>
        <v>19.90049751243781</v>
      </c>
      <c r="O204" s="151" t="str">
        <f>IF(ISERROR(O202+O203),"–",O202+O203)</f>
        <v>–</v>
      </c>
      <c r="P204" s="151" t="str">
        <f>IF(ISERROR(P202+P203),"–",P202+P203)</f>
        <v>–</v>
      </c>
      <c r="Q204" s="151" t="str">
        <f>IF(ISERROR(Q202+Q203),"–",Q202+Q203)</f>
        <v>–</v>
      </c>
      <c r="R204" s="31"/>
      <c r="S204" s="45"/>
      <c r="T204" s="424"/>
      <c r="U204" s="4"/>
      <c r="V204" s="31"/>
      <c r="W204" s="13"/>
      <c r="X204" s="59"/>
      <c r="Y204" s="59"/>
      <c r="Z204" s="59"/>
      <c r="AA204" s="244"/>
      <c r="AB204" s="64"/>
    </row>
    <row r="205" spans="1:28" ht="13.5" customHeight="1">
      <c r="A205" s="1"/>
      <c r="B205" s="247"/>
      <c r="C205" s="272"/>
      <c r="D205" s="248"/>
      <c r="E205" s="248"/>
      <c r="F205" s="249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49"/>
      <c r="S205" s="249"/>
      <c r="T205" s="251"/>
      <c r="U205" s="272"/>
      <c r="V205" s="251"/>
      <c r="W205" s="251"/>
      <c r="X205" s="251"/>
      <c r="Y205" s="251"/>
      <c r="Z205" s="251"/>
      <c r="AA205" s="252"/>
      <c r="AB205" s="47"/>
    </row>
    <row r="206" spans="1:28" ht="27" customHeight="1">
      <c r="A206" s="1"/>
      <c r="B206" s="321"/>
      <c r="C206" s="384"/>
      <c r="D206" s="452" t="s">
        <v>159</v>
      </c>
      <c r="E206" s="385"/>
      <c r="F206" s="386"/>
      <c r="G206" s="387"/>
      <c r="H206" s="387"/>
      <c r="I206" s="387"/>
      <c r="J206" s="387"/>
      <c r="K206" s="387"/>
      <c r="L206" s="387"/>
      <c r="M206" s="387"/>
      <c r="N206" s="387"/>
      <c r="O206" s="387"/>
      <c r="P206" s="387"/>
      <c r="Q206" s="387"/>
      <c r="R206" s="386"/>
      <c r="S206" s="386"/>
      <c r="T206" s="386"/>
      <c r="U206" s="384"/>
      <c r="V206" s="386"/>
      <c r="W206" s="386"/>
      <c r="X206" s="386"/>
      <c r="Y206" s="386"/>
      <c r="Z206" s="386"/>
      <c r="AA206" s="388"/>
      <c r="AB206" s="47"/>
    </row>
    <row r="207" spans="1:28" ht="13.5" customHeight="1">
      <c r="A207" s="1"/>
      <c r="B207" s="322"/>
      <c r="C207" s="2"/>
      <c r="D207" s="2"/>
      <c r="E207" s="2"/>
      <c r="F207" s="2"/>
      <c r="G207" s="137"/>
      <c r="H207" s="137"/>
      <c r="I207" s="137"/>
      <c r="J207" s="137"/>
      <c r="K207" s="137"/>
      <c r="L207" s="136"/>
      <c r="M207" s="136"/>
      <c r="N207" s="137"/>
      <c r="O207" s="136"/>
      <c r="P207" s="136"/>
      <c r="Q207" s="136"/>
      <c r="R207" s="2"/>
      <c r="S207" s="2"/>
      <c r="T207" s="2"/>
      <c r="U207" s="2"/>
      <c r="V207" s="2"/>
      <c r="W207" s="2"/>
      <c r="X207" s="2"/>
      <c r="Y207" s="2"/>
      <c r="Z207" s="2"/>
      <c r="AA207" s="389"/>
      <c r="AB207" s="47"/>
    </row>
    <row r="208" spans="1:28" ht="13.5" customHeight="1">
      <c r="A208" s="1"/>
      <c r="B208" s="323"/>
      <c r="C208" s="3"/>
      <c r="D208" s="3" t="s">
        <v>0</v>
      </c>
      <c r="E208" s="3"/>
      <c r="F208" s="26"/>
      <c r="G208" s="140"/>
      <c r="H208" s="140"/>
      <c r="I208" s="140"/>
      <c r="J208" s="140"/>
      <c r="K208" s="140"/>
      <c r="L208" s="138"/>
      <c r="M208" s="139"/>
      <c r="N208" s="140"/>
      <c r="O208" s="138"/>
      <c r="P208" s="138"/>
      <c r="Q208" s="138"/>
      <c r="R208" s="26"/>
      <c r="S208" s="3"/>
      <c r="T208" s="26"/>
      <c r="U208" s="3"/>
      <c r="V208" s="26"/>
      <c r="W208" s="3"/>
      <c r="X208" s="3"/>
      <c r="Y208" s="3"/>
      <c r="Z208" s="3"/>
      <c r="AA208" s="389"/>
      <c r="AB208" s="47"/>
    </row>
    <row r="209" spans="1:28" ht="13.5" customHeight="1">
      <c r="A209" s="1"/>
      <c r="B209" s="323"/>
      <c r="C209" s="4" t="str">
        <f aca="true" t="shared" si="43" ref="C209:C214">"APACTOTAL – Income statement – "&amp;D209</f>
        <v>APACTOTAL – Income statement – Net revenues</v>
      </c>
      <c r="D209" s="75" t="s">
        <v>1</v>
      </c>
      <c r="E209" s="83"/>
      <c r="F209" s="33"/>
      <c r="G209" s="146">
        <f aca="true" t="shared" si="44" ref="G209:H213">IF(ISERROR(G235+G267),"–",G235+G267)</f>
        <v>881</v>
      </c>
      <c r="H209" s="146">
        <f t="shared" si="44"/>
        <v>848</v>
      </c>
      <c r="I209" s="146">
        <f aca="true" t="shared" si="45" ref="I209:L213">IF(ISERROR(I235+I267),"–",I235+I267)</f>
        <v>890</v>
      </c>
      <c r="J209" s="146">
        <f t="shared" si="45"/>
        <v>885</v>
      </c>
      <c r="K209" s="146">
        <f>IF(ISERROR(K235+K267),"–",K235+K267)</f>
        <v>991</v>
      </c>
      <c r="L209" s="146" t="str">
        <f t="shared" si="45"/>
        <v>–</v>
      </c>
      <c r="M209" s="142"/>
      <c r="N209" s="146">
        <f aca="true" t="shared" si="46" ref="N209:Q213">IF(ISERROR(N235+N267),"–",N235+N267)</f>
        <v>3504</v>
      </c>
      <c r="O209" s="146" t="str">
        <f t="shared" si="46"/>
        <v>–</v>
      </c>
      <c r="P209" s="146" t="str">
        <f t="shared" si="46"/>
        <v>–</v>
      </c>
      <c r="Q209" s="146" t="str">
        <f t="shared" si="46"/>
        <v>–</v>
      </c>
      <c r="R209" s="33"/>
      <c r="S209" s="45"/>
      <c r="T209" s="33"/>
      <c r="U209" s="4"/>
      <c r="V209" s="33"/>
      <c r="W209" s="5"/>
      <c r="X209" s="54"/>
      <c r="Y209" s="54"/>
      <c r="Z209" s="54"/>
      <c r="AA209" s="389"/>
      <c r="AB209" s="47"/>
    </row>
    <row r="210" spans="1:28" ht="13.5" customHeight="1">
      <c r="A210" s="10"/>
      <c r="B210" s="323"/>
      <c r="C210" s="4" t="str">
        <f t="shared" si="43"/>
        <v>APACTOTAL – Income statement – Provision for credit losses</v>
      </c>
      <c r="D210" s="288" t="s">
        <v>5</v>
      </c>
      <c r="E210" s="289"/>
      <c r="F210" s="33"/>
      <c r="G210" s="146">
        <f t="shared" si="44"/>
        <v>4</v>
      </c>
      <c r="H210" s="146">
        <f t="shared" si="44"/>
        <v>-1</v>
      </c>
      <c r="I210" s="146">
        <f t="shared" si="45"/>
        <v>5</v>
      </c>
      <c r="J210" s="146">
        <f t="shared" si="45"/>
        <v>7</v>
      </c>
      <c r="K210" s="146">
        <f>IF(ISERROR(K236+K268),"–",K236+K268)</f>
        <v>10</v>
      </c>
      <c r="L210" s="146" t="str">
        <f t="shared" si="45"/>
        <v>–</v>
      </c>
      <c r="M210" s="142"/>
      <c r="N210" s="146">
        <f t="shared" si="46"/>
        <v>15</v>
      </c>
      <c r="O210" s="146" t="str">
        <f t="shared" si="46"/>
        <v>–</v>
      </c>
      <c r="P210" s="146" t="str">
        <f t="shared" si="46"/>
        <v>–</v>
      </c>
      <c r="Q210" s="146" t="str">
        <f t="shared" si="46"/>
        <v>–</v>
      </c>
      <c r="R210" s="33"/>
      <c r="S210" s="45"/>
      <c r="T210" s="33"/>
      <c r="U210" s="38" t="s">
        <v>26</v>
      </c>
      <c r="V210" s="33"/>
      <c r="W210" s="37">
        <f>IF(L210="–",0,IF($U210="Positive Number",IF(OR(L210&lt;0,ISTEXT(L210),ISERROR(L210)),1,0),IF(OR(ISTEXT(L210),ISERROR(L210)),1,0)))</f>
        <v>0</v>
      </c>
      <c r="X210" s="57">
        <f aca="true" t="shared" si="47" ref="X210:Z212">IF(O210="–",0,IF($U210="Positive Number",IF(OR(O210&lt;0,ISTEXT(O210),ISERROR(O210)),1,0),IF(OR(ISTEXT(O210),ISERROR(O210)),1,0)))</f>
        <v>0</v>
      </c>
      <c r="Y210" s="57">
        <f t="shared" si="47"/>
        <v>0</v>
      </c>
      <c r="Z210" s="57">
        <f t="shared" si="47"/>
        <v>0</v>
      </c>
      <c r="AA210" s="389"/>
      <c r="AB210" s="64"/>
    </row>
    <row r="211" spans="1:28" s="207" customFormat="1" ht="13.5" customHeight="1">
      <c r="A211" s="1"/>
      <c r="B211" s="323"/>
      <c r="C211" s="4" t="str">
        <f t="shared" si="43"/>
        <v>APACTOTAL – Income statement – Compensation and benefits</v>
      </c>
      <c r="D211" s="76" t="s">
        <v>6</v>
      </c>
      <c r="E211" s="84"/>
      <c r="F211" s="33"/>
      <c r="G211" s="144">
        <f t="shared" si="44"/>
        <v>424</v>
      </c>
      <c r="H211" s="144">
        <f t="shared" si="44"/>
        <v>387</v>
      </c>
      <c r="I211" s="144">
        <f t="shared" si="45"/>
        <v>397</v>
      </c>
      <c r="J211" s="144">
        <f t="shared" si="45"/>
        <v>394</v>
      </c>
      <c r="K211" s="144">
        <f>IF(ISERROR(K237+K269),"–",K237+K269)</f>
        <v>411</v>
      </c>
      <c r="L211" s="144" t="str">
        <f t="shared" si="45"/>
        <v>–</v>
      </c>
      <c r="M211" s="142"/>
      <c r="N211" s="144">
        <f t="shared" si="46"/>
        <v>1602</v>
      </c>
      <c r="O211" s="144" t="str">
        <f t="shared" si="46"/>
        <v>–</v>
      </c>
      <c r="P211" s="144" t="str">
        <f t="shared" si="46"/>
        <v>–</v>
      </c>
      <c r="Q211" s="144" t="str">
        <f t="shared" si="46"/>
        <v>–</v>
      </c>
      <c r="R211" s="33"/>
      <c r="S211" s="45"/>
      <c r="T211" s="33"/>
      <c r="U211" s="237" t="s">
        <v>25</v>
      </c>
      <c r="V211" s="33"/>
      <c r="W211" s="238">
        <f>IF(L211="–",0,IF($U211="Positive Number",IF(OR(L211&lt;0,ISTEXT(L211),ISERROR(L211)),1,0),IF(OR(ISTEXT(L211),ISERROR(L211)),1,0)))</f>
        <v>0</v>
      </c>
      <c r="X211" s="239">
        <f t="shared" si="47"/>
        <v>0</v>
      </c>
      <c r="Y211" s="239">
        <f t="shared" si="47"/>
        <v>0</v>
      </c>
      <c r="Z211" s="239">
        <f t="shared" si="47"/>
        <v>0</v>
      </c>
      <c r="AA211" s="322"/>
      <c r="AB211" s="47"/>
    </row>
    <row r="212" spans="1:28" s="207" customFormat="1" ht="13.5" customHeight="1">
      <c r="A212" s="1"/>
      <c r="B212" s="323"/>
      <c r="C212" s="4" t="str">
        <f t="shared" si="43"/>
        <v>APACTOTAL – Income statement – Total other operating expenses</v>
      </c>
      <c r="D212" s="76" t="s">
        <v>137</v>
      </c>
      <c r="E212" s="84"/>
      <c r="F212" s="33"/>
      <c r="G212" s="144">
        <f t="shared" si="44"/>
        <v>306</v>
      </c>
      <c r="H212" s="144">
        <f t="shared" si="44"/>
        <v>274</v>
      </c>
      <c r="I212" s="144">
        <f t="shared" si="45"/>
        <v>270</v>
      </c>
      <c r="J212" s="144">
        <f t="shared" si="45"/>
        <v>308</v>
      </c>
      <c r="K212" s="144">
        <f>IF(ISERROR(K238+K270),"–",K238+K270)</f>
        <v>336</v>
      </c>
      <c r="L212" s="144" t="str">
        <f t="shared" si="45"/>
        <v>–</v>
      </c>
      <c r="M212" s="142"/>
      <c r="N212" s="144">
        <f t="shared" si="46"/>
        <v>1158</v>
      </c>
      <c r="O212" s="144" t="str">
        <f t="shared" si="46"/>
        <v>–</v>
      </c>
      <c r="P212" s="144" t="str">
        <f t="shared" si="46"/>
        <v>–</v>
      </c>
      <c r="Q212" s="144" t="str">
        <f t="shared" si="46"/>
        <v>–</v>
      </c>
      <c r="R212" s="33"/>
      <c r="S212" s="45"/>
      <c r="T212" s="33"/>
      <c r="U212" s="237" t="s">
        <v>25</v>
      </c>
      <c r="V212" s="33"/>
      <c r="W212" s="238">
        <f>IF(L212="–",0,IF($U212="Positive Number",IF(OR(L212&lt;0,ISTEXT(L212),ISERROR(L212)),1,0),IF(OR(ISTEXT(L212),ISERROR(L212)),1,0)))</f>
        <v>0</v>
      </c>
      <c r="X212" s="239">
        <f t="shared" si="47"/>
        <v>0</v>
      </c>
      <c r="Y212" s="239">
        <f t="shared" si="47"/>
        <v>0</v>
      </c>
      <c r="Z212" s="239">
        <f t="shared" si="47"/>
        <v>0</v>
      </c>
      <c r="AA212" s="322"/>
      <c r="AB212" s="47"/>
    </row>
    <row r="213" spans="1:28" ht="13.5" customHeight="1">
      <c r="A213" s="1"/>
      <c r="B213" s="323"/>
      <c r="C213" s="4" t="str">
        <f t="shared" si="43"/>
        <v>APACTOTAL – Income statement – Total operating expenses</v>
      </c>
      <c r="D213" s="288" t="s">
        <v>7</v>
      </c>
      <c r="E213" s="289"/>
      <c r="F213" s="33"/>
      <c r="G213" s="146">
        <f t="shared" si="44"/>
        <v>730</v>
      </c>
      <c r="H213" s="146">
        <f t="shared" si="44"/>
        <v>661</v>
      </c>
      <c r="I213" s="146">
        <f t="shared" si="45"/>
        <v>667</v>
      </c>
      <c r="J213" s="146">
        <f t="shared" si="45"/>
        <v>702</v>
      </c>
      <c r="K213" s="146">
        <f>IF(ISERROR(K239+K271),"–",K239+K271)</f>
        <v>747</v>
      </c>
      <c r="L213" s="146" t="str">
        <f t="shared" si="45"/>
        <v>–</v>
      </c>
      <c r="M213" s="142"/>
      <c r="N213" s="146">
        <f t="shared" si="46"/>
        <v>2760</v>
      </c>
      <c r="O213" s="146" t="str">
        <f t="shared" si="46"/>
        <v>–</v>
      </c>
      <c r="P213" s="146" t="str">
        <f t="shared" si="46"/>
        <v>–</v>
      </c>
      <c r="Q213" s="146" t="str">
        <f t="shared" si="46"/>
        <v>–</v>
      </c>
      <c r="R213" s="33"/>
      <c r="S213" s="45"/>
      <c r="T213" s="33"/>
      <c r="U213" s="4"/>
      <c r="V213" s="33"/>
      <c r="W213" s="5"/>
      <c r="X213" s="54"/>
      <c r="Y213" s="54"/>
      <c r="Z213" s="54"/>
      <c r="AA213" s="389"/>
      <c r="AB213" s="47"/>
    </row>
    <row r="214" spans="1:28" ht="13.5" customHeight="1">
      <c r="A214" s="1"/>
      <c r="B214" s="323"/>
      <c r="C214" s="4" t="str">
        <f t="shared" si="43"/>
        <v>APACTOTAL – Income statement – Income from continuing operations before taxes</v>
      </c>
      <c r="D214" s="75" t="s">
        <v>8</v>
      </c>
      <c r="E214" s="83"/>
      <c r="F214" s="33"/>
      <c r="G214" s="145">
        <f>IF(ISERROR(G209-G210-G213),"–",G209-G210-G213)</f>
        <v>147</v>
      </c>
      <c r="H214" s="145">
        <f>IF(ISERROR(H209-H210-H213),"–",H209-H210-H213)</f>
        <v>188</v>
      </c>
      <c r="I214" s="145">
        <f>IF(ISERROR(I209-I210-I213),"–",I209-I210-I213)</f>
        <v>218</v>
      </c>
      <c r="J214" s="145">
        <f>IF(ISERROR(J209-J210-J213),"–",J209-J210-J213)</f>
        <v>176</v>
      </c>
      <c r="K214" s="145">
        <f>IF(ISERROR(K209-K210-K213),"–",K209-K210-K213)</f>
        <v>234</v>
      </c>
      <c r="L214" s="145" t="str">
        <f>IF(ISERROR(L209-L210-L213),"–",L209-L210-L213)</f>
        <v>–</v>
      </c>
      <c r="M214" s="142"/>
      <c r="N214" s="145">
        <f>IF(ISERROR(N209-N210-N213),"–",N209-N210-N213)</f>
        <v>729</v>
      </c>
      <c r="O214" s="145" t="str">
        <f>IF(ISERROR(O209-O210-O213),"–",O209-O210-O213)</f>
        <v>–</v>
      </c>
      <c r="P214" s="145" t="str">
        <f>IF(ISERROR(P209-P210-P213),"–",P209-P210-P213)</f>
        <v>–</v>
      </c>
      <c r="Q214" s="145" t="str">
        <f>IF(ISERROR(Q209-Q210-Q213),"–",Q209-Q210-Q213)</f>
        <v>–</v>
      </c>
      <c r="R214" s="33"/>
      <c r="S214" s="45"/>
      <c r="T214" s="33"/>
      <c r="U214" s="4"/>
      <c r="V214" s="33"/>
      <c r="W214" s="5"/>
      <c r="X214" s="54"/>
      <c r="Y214" s="54"/>
      <c r="Z214" s="54"/>
      <c r="AA214" s="389"/>
      <c r="AB214" s="47"/>
    </row>
    <row r="215" spans="1:28" ht="13.5" customHeight="1">
      <c r="A215" s="1"/>
      <c r="B215" s="323"/>
      <c r="C215" s="6"/>
      <c r="D215" s="7"/>
      <c r="E215" s="7"/>
      <c r="F215" s="33"/>
      <c r="G215" s="149"/>
      <c r="H215" s="149"/>
      <c r="I215" s="149"/>
      <c r="J215" s="149"/>
      <c r="K215" s="149"/>
      <c r="L215" s="149"/>
      <c r="M215" s="142"/>
      <c r="N215" s="149"/>
      <c r="O215" s="149"/>
      <c r="P215" s="149"/>
      <c r="Q215" s="149"/>
      <c r="R215" s="33"/>
      <c r="S215" s="8"/>
      <c r="T215" s="33"/>
      <c r="U215" s="6"/>
      <c r="V215" s="33"/>
      <c r="W215" s="8"/>
      <c r="X215" s="8"/>
      <c r="Y215" s="8"/>
      <c r="Z215" s="8"/>
      <c r="AA215" s="389"/>
      <c r="AB215" s="47"/>
    </row>
    <row r="216" spans="1:28" ht="13.5" customHeight="1" hidden="1">
      <c r="A216" s="1"/>
      <c r="B216" s="323"/>
      <c r="C216" s="4" t="str">
        <f>"APACTOTAL – Income statement – "&amp;D216</f>
        <v>APACTOTAL – Income statement – Compensation ratio (%)</v>
      </c>
      <c r="D216" s="82" t="s">
        <v>9</v>
      </c>
      <c r="E216" s="91"/>
      <c r="F216" s="33"/>
      <c r="G216" s="151">
        <f>IF(ISERROR(G211/G209),"–",IF(ABS(G211/G209*100)&gt;NM,"–",G211/G209*100))</f>
        <v>48.12712826333711</v>
      </c>
      <c r="H216" s="151">
        <f>IF(ISERROR(H211/H209),"–",IF(ABS(H211/H209*100)&gt;NM,"–",H211/H209*100))</f>
        <v>45.636792452830186</v>
      </c>
      <c r="I216" s="151">
        <f>IF(ISERROR(I211/I209),"–",IF(ABS(I211/I209*100)&gt;NM,"–",I211/I209*100))</f>
        <v>44.60674157303371</v>
      </c>
      <c r="J216" s="151">
        <f>IF(ISERROR(J211/J209),"–",IF(ABS(J211/J209*100)&gt;NM,"–",J211/J209*100))</f>
        <v>44.51977401129943</v>
      </c>
      <c r="K216" s="151">
        <f>IF(ISERROR(K211/K209),"–",IF(ABS(K211/K209*100)&gt;NM,"–",K211/K209*100))</f>
        <v>41.47325933400605</v>
      </c>
      <c r="L216" s="151" t="str">
        <f>IF(ISERROR(L211/L209),"–",IF(ABS(L211/L209*100)&gt;NM,"–",L211/L209*100))</f>
        <v>–</v>
      </c>
      <c r="M216" s="142"/>
      <c r="N216" s="151">
        <f>IF(ISERROR(N211/N209),"–",IF(ABS(N211/N209*100)&gt;NM,"–",N211/N209*100))</f>
        <v>45.71917808219178</v>
      </c>
      <c r="O216" s="151" t="str">
        <f>IF(ISERROR(O211/O209),"–",IF(ABS(O211/O209*100)&gt;NM,"–",O211/O209*100))</f>
        <v>–</v>
      </c>
      <c r="P216" s="151" t="str">
        <f>IF(ISERROR(P211/P209),"–",IF(ABS(P211/P209*100)&gt;NM,"–",P211/P209*100))</f>
        <v>–</v>
      </c>
      <c r="Q216" s="151" t="str">
        <f>IF(ISERROR(Q211/Q209),"–",IF(ABS(Q211/Q209*100)&gt;NM,"–",Q211/Q209*100))</f>
        <v>–</v>
      </c>
      <c r="R216" s="33"/>
      <c r="S216" s="45"/>
      <c r="T216" s="33"/>
      <c r="U216" s="4"/>
      <c r="V216" s="33"/>
      <c r="W216" s="12"/>
      <c r="X216" s="58"/>
      <c r="Y216" s="58"/>
      <c r="Z216" s="58"/>
      <c r="AA216" s="322"/>
      <c r="AB216" s="47"/>
    </row>
    <row r="217" spans="1:28" ht="13.5" customHeight="1" hidden="1">
      <c r="A217" s="1"/>
      <c r="B217" s="323"/>
      <c r="C217" s="4" t="str">
        <f>"APACTOTAL – Income statement – "&amp;D217</f>
        <v>APACTOTAL – Income statement – Non-compensation ratio (%)</v>
      </c>
      <c r="D217" s="82" t="s">
        <v>10</v>
      </c>
      <c r="E217" s="91"/>
      <c r="F217" s="33"/>
      <c r="G217" s="151">
        <f>IF(ISERROR(G212/G209),"–",IF(ABS(G212/G209*100)&gt;NM,"–",G212/G209*100))</f>
        <v>34.73325766174801</v>
      </c>
      <c r="H217" s="151">
        <f>IF(ISERROR(H212/H209),"–",IF(ABS(H212/H209*100)&gt;NM,"–",H212/H209*100))</f>
        <v>32.31132075471698</v>
      </c>
      <c r="I217" s="151">
        <f>IF(ISERROR(I212/I209),"–",IF(ABS(I212/I209*100)&gt;NM,"–",I212/I209*100))</f>
        <v>30.337078651685395</v>
      </c>
      <c r="J217" s="151">
        <f>IF(ISERROR(J212/J209),"–",IF(ABS(J212/J209*100)&gt;NM,"–",J212/J209*100))</f>
        <v>34.80225988700565</v>
      </c>
      <c r="K217" s="151">
        <f>IF(ISERROR(K212/K209),"–",IF(ABS(K212/K209*100)&gt;NM,"–",K212/K209*100))</f>
        <v>33.90514631685166</v>
      </c>
      <c r="L217" s="151" t="str">
        <f>IF(ISERROR(L212/L209),"–",IF(ABS(L212/L209*100)&gt;NM,"–",L212/L209*100))</f>
        <v>–</v>
      </c>
      <c r="M217" s="142"/>
      <c r="N217" s="151">
        <f>IF(ISERROR(N212/N209),"–",IF(ABS(N212/N209*100)&gt;NM,"–",N212/N209*100))</f>
        <v>33.04794520547945</v>
      </c>
      <c r="O217" s="151" t="str">
        <f>IF(ISERROR(O212/O209),"–",IF(ABS(O212/O209*100)&gt;NM,"–",O212/O209*100))</f>
        <v>–</v>
      </c>
      <c r="P217" s="151" t="str">
        <f>IF(ISERROR(P212/P209),"–",IF(ABS(P212/P209*100)&gt;NM,"–",P212/P209*100))</f>
        <v>–</v>
      </c>
      <c r="Q217" s="151" t="str">
        <f>IF(ISERROR(Q212/Q209),"–",IF(ABS(Q212/Q209*100)&gt;NM,"–",Q212/Q209*100))</f>
        <v>–</v>
      </c>
      <c r="R217" s="33"/>
      <c r="S217" s="45"/>
      <c r="T217" s="33"/>
      <c r="U217" s="4"/>
      <c r="V217" s="33"/>
      <c r="W217" s="12"/>
      <c r="X217" s="58"/>
      <c r="Y217" s="58"/>
      <c r="Z217" s="58"/>
      <c r="AA217" s="322"/>
      <c r="AB217" s="47"/>
    </row>
    <row r="218" spans="1:28" ht="13.5" customHeight="1">
      <c r="A218" s="1"/>
      <c r="B218" s="323"/>
      <c r="C218" s="4" t="str">
        <f>"APACTOTAL – Income statement – "&amp;D218</f>
        <v>APACTOTAL – Income statement – Cost / income ratio (%)</v>
      </c>
      <c r="D218" s="77" t="s">
        <v>11</v>
      </c>
      <c r="E218" s="85"/>
      <c r="F218" s="33"/>
      <c r="G218" s="151">
        <f>IF(ISERROR(G213/G209),"–",IF(ABS(G213/G209*100)&gt;NM,"–",G213/G209*100))</f>
        <v>82.86038592508514</v>
      </c>
      <c r="H218" s="151">
        <f>IF(ISERROR(H213/H209),"–",IF(ABS(H213/H209*100)&gt;NM,"–",H213/H209*100))</f>
        <v>77.94811320754717</v>
      </c>
      <c r="I218" s="151">
        <f>IF(ISERROR(I213/I209),"–",IF(ABS(I213/I209*100)&gt;NM,"–",I213/I209*100))</f>
        <v>74.9438202247191</v>
      </c>
      <c r="J218" s="151">
        <f>IF(ISERROR(J213/J209),"–",IF(ABS(J213/J209*100)&gt;NM,"–",J213/J209*100))</f>
        <v>79.3220338983051</v>
      </c>
      <c r="K218" s="151">
        <f>IF(ISERROR(K213/K209),"–",IF(ABS(K213/K209*100)&gt;NM,"–",K213/K209*100))</f>
        <v>75.37840565085772</v>
      </c>
      <c r="L218" s="151" t="str">
        <f>IF(ISERROR(L213/L209),"–",IF(ABS(L213/L209*100)&gt;NM,"–",L213/L209*100))</f>
        <v>–</v>
      </c>
      <c r="M218" s="142"/>
      <c r="N218" s="151">
        <f>IF(ISERROR(N213/N209),"–",IF(ABS(N213/N209*100)&gt;NM,"–",N213/N209*100))</f>
        <v>78.76712328767124</v>
      </c>
      <c r="O218" s="151" t="str">
        <f>IF(ISERROR(O213/O209),"–",IF(ABS(O213/O209*100)&gt;NM,"–",O213/O209*100))</f>
        <v>–</v>
      </c>
      <c r="P218" s="151" t="str">
        <f>IF(ISERROR(P213/P209),"–",IF(ABS(P213/P209*100)&gt;NM,"–",P213/P209*100))</f>
        <v>–</v>
      </c>
      <c r="Q218" s="151" t="str">
        <f>IF(ISERROR(Q213/Q209),"–",IF(ABS(Q213/Q209*100)&gt;NM,"–",Q213/Q209*100))</f>
        <v>–</v>
      </c>
      <c r="R218" s="33"/>
      <c r="S218" s="45"/>
      <c r="T218" s="33"/>
      <c r="U218" s="4"/>
      <c r="V218" s="33"/>
      <c r="W218" s="13"/>
      <c r="X218" s="59"/>
      <c r="Y218" s="59"/>
      <c r="Z218" s="59"/>
      <c r="AA218" s="389"/>
      <c r="AB218" s="47"/>
    </row>
    <row r="219" spans="1:28" ht="13.5" customHeight="1">
      <c r="A219" s="1"/>
      <c r="B219" s="323"/>
      <c r="C219" s="4" t="str">
        <f>"APACTOTAL – Income statement – "&amp;D219</f>
        <v>APACTOTAL – Income statement – Pre-tax income margin (%)</v>
      </c>
      <c r="D219" s="77" t="s">
        <v>12</v>
      </c>
      <c r="E219" s="85"/>
      <c r="F219" s="33"/>
      <c r="G219" s="151">
        <f>IF(ISERROR(G214/G209),"–",IF(ABS(G214/G209*100)&gt;NM,"–",G214/G209*100))</f>
        <v>16.685584562996596</v>
      </c>
      <c r="H219" s="151">
        <f>IF(ISERROR(H214/H209),"–",IF(ABS(H214/H209*100)&gt;NM,"–",H214/H209*100))</f>
        <v>22.169811320754718</v>
      </c>
      <c r="I219" s="151">
        <f>IF(ISERROR(I214/I209),"–",IF(ABS(I214/I209*100)&gt;NM,"–",I214/I209*100))</f>
        <v>24.49438202247191</v>
      </c>
      <c r="J219" s="151">
        <f>IF(ISERROR(J214/J209),"–",IF(ABS(J214/J209*100)&gt;NM,"–",J214/J209*100))</f>
        <v>19.887005649717516</v>
      </c>
      <c r="K219" s="151">
        <f>IF(ISERROR(K214/K209),"–",IF(ABS(K214/K209*100)&gt;NM,"–",K214/K209*100))</f>
        <v>23.612512613521695</v>
      </c>
      <c r="L219" s="151" t="str">
        <f>IF(ISERROR(L214/L209),"–",IF(ABS(L214/L209*100)&gt;NM,"–",L214/L209*100))</f>
        <v>–</v>
      </c>
      <c r="M219" s="142"/>
      <c r="N219" s="151">
        <f>IF(ISERROR(N214/N209),"–",IF(ABS(N214/N209*100)&gt;NM,"–",N214/N209*100))</f>
        <v>20.804794520547944</v>
      </c>
      <c r="O219" s="151" t="str">
        <f>IF(ISERROR(O214/O209),"–",IF(ABS(O214/O209*100)&gt;NM,"–",O214/O209*100))</f>
        <v>–</v>
      </c>
      <c r="P219" s="151" t="str">
        <f>IF(ISERROR(P214/P209),"–",IF(ABS(P214/P209*100)&gt;NM,"–",P214/P209*100))</f>
        <v>–</v>
      </c>
      <c r="Q219" s="151" t="str">
        <f>IF(ISERROR(Q214/Q209),"–",IF(ABS(Q214/Q209*100)&gt;NM,"–",Q214/Q209*100))</f>
        <v>–</v>
      </c>
      <c r="R219" s="33"/>
      <c r="S219" s="45"/>
      <c r="T219" s="33"/>
      <c r="U219" s="4"/>
      <c r="V219" s="33"/>
      <c r="W219" s="13"/>
      <c r="X219" s="59"/>
      <c r="Y219" s="59"/>
      <c r="Z219" s="59"/>
      <c r="AA219" s="389"/>
      <c r="AB219" s="47"/>
    </row>
    <row r="220" spans="1:28" ht="12.75" customHeight="1">
      <c r="A220" s="1"/>
      <c r="B220" s="323"/>
      <c r="C220" s="6"/>
      <c r="D220" s="7"/>
      <c r="E220" s="7"/>
      <c r="F220" s="33"/>
      <c r="G220" s="8"/>
      <c r="H220" s="8"/>
      <c r="I220" s="8"/>
      <c r="J220" s="8"/>
      <c r="K220" s="8"/>
      <c r="L220" s="8"/>
      <c r="M220" s="142"/>
      <c r="N220" s="8"/>
      <c r="O220" s="8"/>
      <c r="P220" s="8"/>
      <c r="Q220" s="8"/>
      <c r="R220" s="33"/>
      <c r="S220" s="8"/>
      <c r="T220" s="33"/>
      <c r="U220" s="2"/>
      <c r="V220" s="25"/>
      <c r="W220" s="2"/>
      <c r="X220" s="2"/>
      <c r="Y220" s="2"/>
      <c r="Z220" s="2"/>
      <c r="AA220" s="389"/>
      <c r="AB220" s="47"/>
    </row>
    <row r="221" spans="1:28" ht="13.5" customHeight="1">
      <c r="A221" s="1"/>
      <c r="B221" s="323"/>
      <c r="C221" s="2"/>
      <c r="D221" s="2"/>
      <c r="E221" s="2"/>
      <c r="F221" s="25"/>
      <c r="G221" s="137"/>
      <c r="H221" s="137"/>
      <c r="I221" s="137"/>
      <c r="J221" s="137"/>
      <c r="K221" s="137"/>
      <c r="L221" s="136"/>
      <c r="M221" s="159"/>
      <c r="N221" s="137"/>
      <c r="O221" s="136"/>
      <c r="P221" s="136"/>
      <c r="Q221" s="136"/>
      <c r="R221" s="25"/>
      <c r="S221" s="2"/>
      <c r="T221" s="25"/>
      <c r="U221" s="2"/>
      <c r="V221" s="25"/>
      <c r="W221" s="2"/>
      <c r="X221" s="2"/>
      <c r="Y221" s="2"/>
      <c r="Z221" s="2"/>
      <c r="AA221" s="389"/>
      <c r="AB221" s="47"/>
    </row>
    <row r="222" spans="1:28" ht="13.5" customHeight="1">
      <c r="A222" s="1"/>
      <c r="B222" s="323"/>
      <c r="C222" s="3"/>
      <c r="D222" s="3" t="s">
        <v>160</v>
      </c>
      <c r="E222" s="3"/>
      <c r="F222" s="26"/>
      <c r="G222" s="140"/>
      <c r="H222" s="140"/>
      <c r="I222" s="140"/>
      <c r="J222" s="140"/>
      <c r="K222" s="140"/>
      <c r="L222" s="138"/>
      <c r="M222" s="139"/>
      <c r="N222" s="140"/>
      <c r="O222" s="138"/>
      <c r="P222" s="138"/>
      <c r="Q222" s="138"/>
      <c r="R222" s="26"/>
      <c r="S222" s="3"/>
      <c r="T222" s="26"/>
      <c r="U222" s="3"/>
      <c r="V222" s="26"/>
      <c r="W222" s="3"/>
      <c r="X222" s="3"/>
      <c r="Y222" s="3"/>
      <c r="Z222" s="3"/>
      <c r="AA222" s="389"/>
      <c r="AB222" s="47"/>
    </row>
    <row r="223" spans="1:28" s="207" customFormat="1" ht="13.5" customHeight="1">
      <c r="A223" s="1"/>
      <c r="B223" s="323"/>
      <c r="C223" s="4" t="str">
        <f>"APACTOTAL – Assets under management – "&amp;D223</f>
        <v>APACTOTAL – Assets under management – Risk-weighted assets – look-through (CHF million)</v>
      </c>
      <c r="D223" s="292" t="s">
        <v>162</v>
      </c>
      <c r="E223" s="292"/>
      <c r="F223" s="30"/>
      <c r="G223" s="281">
        <v>33077</v>
      </c>
      <c r="H223" s="281">
        <v>32293</v>
      </c>
      <c r="I223" s="281">
        <v>31237</v>
      </c>
      <c r="J223" s="281">
        <v>31474</v>
      </c>
      <c r="K223" s="281">
        <v>33647</v>
      </c>
      <c r="L223" s="141">
        <f>IF(L$27="No","–",IF(INDEX(CS_CONS_LINK_ARRAY,MATCH($C223,CS_CONS_LINK_COLUMN,0),MATCH(L$1,CS_CONS_LINK_ROW,0))="","",INDEX(CS_CONS_LINK_ARRAY,MATCH($C223,CS_CONS_LINK_COLUMN,0),MATCH(L$1,CS_CONS_LINK_ROW,0))))</f>
      </c>
      <c r="M223" s="156"/>
      <c r="N223" s="170">
        <v>31474</v>
      </c>
      <c r="O223" s="141">
        <f aca="true" t="shared" si="48" ref="O223:Q224">IF(O$27="No","–",IF(INDEX(CS_CONS_LINK_ARRAY,MATCH($C223,CS_CONS_LINK_COLUMN,0),MATCH(O$1,CS_CONS_LINK_ROW,0))="","",INDEX(CS_CONS_LINK_ARRAY,MATCH($C223,CS_CONS_LINK_COLUMN,0),MATCH(O$1,CS_CONS_LINK_ROW,0))))</f>
      </c>
      <c r="P223" s="141">
        <f t="shared" si="48"/>
      </c>
      <c r="Q223" s="141">
        <f t="shared" si="48"/>
      </c>
      <c r="R223" s="30"/>
      <c r="S223" s="45"/>
      <c r="T223" s="30"/>
      <c r="U223" s="237" t="s">
        <v>26</v>
      </c>
      <c r="V223" s="28"/>
      <c r="W223" s="238">
        <f>IF(L223="–",0,IF($U223="Positive Number",IF(OR(L223&lt;0,ISTEXT(L223),ISERROR(L223)),1,0),IF(OR(ISTEXT(L223),ISERROR(L223)),1,0)))</f>
        <v>1</v>
      </c>
      <c r="X223" s="239">
        <f>IF(O223="–",0,IF($U223="Positive Number",IF(OR(O223&lt;0,ISTEXT(O223),ISERROR(O223)),1,0),IF(OR(ISTEXT(O223),ISERROR(O223)),1,0)))</f>
        <v>1</v>
      </c>
      <c r="Y223" s="239">
        <f>IF(P223="–",0,IF($U223="Positive Number",IF(OR(P223&lt;0,ISTEXT(P223),ISERROR(P223)),1,0),IF(OR(ISTEXT(P223),ISERROR(P223)),1,0)))</f>
        <v>1</v>
      </c>
      <c r="Z223" s="239">
        <f>IF(Q223="–",0,IF($U223="Positive Number",IF(OR(Q223&lt;0,ISTEXT(Q223),ISERROR(Q223)),1,0),IF(OR(ISTEXT(Q223),ISERROR(Q223)),1,0)))</f>
        <v>1</v>
      </c>
      <c r="AA223" s="322"/>
      <c r="AB223" s="47"/>
    </row>
    <row r="224" spans="1:28" s="207" customFormat="1" ht="13.5" customHeight="1">
      <c r="A224" s="1"/>
      <c r="B224" s="323"/>
      <c r="C224" s="4" t="str">
        <f>"APACTOTAL – Assets under management – "&amp;D224</f>
        <v>APACTOTAL – Assets under management – Leverage exposure – look-through (CHF million)</v>
      </c>
      <c r="D224" s="86" t="s">
        <v>161</v>
      </c>
      <c r="E224" s="86"/>
      <c r="F224" s="30"/>
      <c r="G224" s="170">
        <v>106474</v>
      </c>
      <c r="H224" s="170">
        <v>101583</v>
      </c>
      <c r="I224" s="170">
        <v>106128</v>
      </c>
      <c r="J224" s="170">
        <v>105585</v>
      </c>
      <c r="K224" s="170">
        <v>115709</v>
      </c>
      <c r="L224" s="141">
        <f>IF(L$27="No","–",IF(INDEX(CS_CONS_LINK_ARRAY,MATCH($C224,CS_CONS_LINK_COLUMN,0),MATCH(L$1,CS_CONS_LINK_ROW,0))="","",INDEX(CS_CONS_LINK_ARRAY,MATCH($C224,CS_CONS_LINK_COLUMN,0),MATCH(L$1,CS_CONS_LINK_ROW,0))))</f>
      </c>
      <c r="M224" s="156"/>
      <c r="N224" s="170">
        <v>105585</v>
      </c>
      <c r="O224" s="141">
        <f t="shared" si="48"/>
      </c>
      <c r="P224" s="141">
        <f t="shared" si="48"/>
      </c>
      <c r="Q224" s="141">
        <f t="shared" si="48"/>
      </c>
      <c r="R224" s="30"/>
      <c r="S224" s="45"/>
      <c r="T224" s="425"/>
      <c r="U224" s="237"/>
      <c r="V224" s="30"/>
      <c r="W224" s="16"/>
      <c r="X224" s="61"/>
      <c r="Y224" s="61"/>
      <c r="Z224" s="61"/>
      <c r="AA224" s="322"/>
      <c r="AB224" s="47"/>
    </row>
    <row r="225" spans="1:28" ht="13.5" customHeight="1">
      <c r="A225" s="1"/>
      <c r="B225" s="329"/>
      <c r="C225" s="443"/>
      <c r="D225" s="444"/>
      <c r="E225" s="444"/>
      <c r="F225" s="445"/>
      <c r="G225" s="446"/>
      <c r="H225" s="446"/>
      <c r="I225" s="446"/>
      <c r="J225" s="446"/>
      <c r="K225" s="446"/>
      <c r="L225" s="446"/>
      <c r="M225" s="446"/>
      <c r="N225" s="446"/>
      <c r="O225" s="446"/>
      <c r="P225" s="446"/>
      <c r="Q225" s="446"/>
      <c r="R225" s="445"/>
      <c r="S225" s="445"/>
      <c r="T225" s="447"/>
      <c r="U225" s="300"/>
      <c r="V225" s="448"/>
      <c r="W225" s="448"/>
      <c r="X225" s="448"/>
      <c r="Y225" s="448"/>
      <c r="Z225" s="448"/>
      <c r="AA225" s="323"/>
      <c r="AB225" s="47"/>
    </row>
    <row r="226" spans="1:28" ht="27" customHeight="1">
      <c r="A226" s="1"/>
      <c r="B226" s="329"/>
      <c r="C226" s="439"/>
      <c r="D226" s="440" t="s">
        <v>267</v>
      </c>
      <c r="E226" s="440"/>
      <c r="F226" s="393"/>
      <c r="G226" s="441"/>
      <c r="H226" s="441"/>
      <c r="I226" s="441"/>
      <c r="J226" s="441"/>
      <c r="K226" s="441"/>
      <c r="L226" s="441"/>
      <c r="M226" s="441"/>
      <c r="N226" s="441"/>
      <c r="O226" s="441"/>
      <c r="P226" s="441"/>
      <c r="Q226" s="441"/>
      <c r="R226" s="393"/>
      <c r="S226" s="393"/>
      <c r="T226" s="393"/>
      <c r="U226" s="426"/>
      <c r="V226" s="100"/>
      <c r="W226" s="100"/>
      <c r="X226" s="100"/>
      <c r="Y226" s="100"/>
      <c r="Z226" s="100"/>
      <c r="AA226" s="323"/>
      <c r="AB226" s="47"/>
    </row>
    <row r="227" spans="1:28" ht="13.5" customHeight="1">
      <c r="A227" s="1"/>
      <c r="B227" s="322"/>
      <c r="C227" s="2"/>
      <c r="D227" s="2"/>
      <c r="E227" s="2"/>
      <c r="F227" s="2"/>
      <c r="G227" s="137"/>
      <c r="H227" s="137"/>
      <c r="I227" s="137"/>
      <c r="J227" s="137"/>
      <c r="K227" s="137"/>
      <c r="L227" s="136"/>
      <c r="M227" s="136"/>
      <c r="N227" s="137"/>
      <c r="O227" s="136"/>
      <c r="P227" s="136"/>
      <c r="Q227" s="136"/>
      <c r="R227" s="2"/>
      <c r="S227" s="2"/>
      <c r="T227" s="2"/>
      <c r="U227" s="2"/>
      <c r="V227" s="2"/>
      <c r="W227" s="2"/>
      <c r="X227" s="2"/>
      <c r="Y227" s="2"/>
      <c r="Z227" s="2"/>
      <c r="AA227" s="389"/>
      <c r="AB227" s="47"/>
    </row>
    <row r="228" spans="1:28" ht="13.5" customHeight="1">
      <c r="A228" s="1"/>
      <c r="B228" s="323"/>
      <c r="C228" s="3"/>
      <c r="D228" s="3" t="s">
        <v>0</v>
      </c>
      <c r="E228" s="3"/>
      <c r="F228" s="26"/>
      <c r="G228" s="140"/>
      <c r="H228" s="140"/>
      <c r="I228" s="140"/>
      <c r="J228" s="140"/>
      <c r="K228" s="140"/>
      <c r="L228" s="138"/>
      <c r="M228" s="139"/>
      <c r="N228" s="140"/>
      <c r="O228" s="138"/>
      <c r="P228" s="138"/>
      <c r="Q228" s="138"/>
      <c r="R228" s="26"/>
      <c r="S228" s="3"/>
      <c r="T228" s="26"/>
      <c r="U228" s="3"/>
      <c r="V228" s="26"/>
      <c r="W228" s="3"/>
      <c r="X228" s="3"/>
      <c r="Y228" s="3"/>
      <c r="Z228" s="3"/>
      <c r="AA228" s="389"/>
      <c r="AB228" s="47"/>
    </row>
    <row r="229" spans="1:28" ht="13.5" customHeight="1">
      <c r="A229" s="1"/>
      <c r="B229" s="324"/>
      <c r="C229" s="4" t="str">
        <f aca="true" t="shared" si="49" ref="C229:C240">"APACWMC – Income statement – "&amp;D229</f>
        <v>APACWMC – Income statement – Net interest income</v>
      </c>
      <c r="D229" s="473" t="s">
        <v>194</v>
      </c>
      <c r="E229" s="290"/>
      <c r="F229" s="33"/>
      <c r="G229" s="170">
        <v>168</v>
      </c>
      <c r="H229" s="170">
        <v>161</v>
      </c>
      <c r="I229" s="170">
        <v>144</v>
      </c>
      <c r="J229" s="170">
        <v>147</v>
      </c>
      <c r="K229" s="170">
        <v>159</v>
      </c>
      <c r="L229" s="141">
        <f>IF(L$27="No","–",IF(INDEX(CS_CONS_LINK_ARRAY,MATCH($C229,CS_CONS_LINK_COLUMN,0),MATCH(L$1,CS_CONS_LINK_ROW,0))="","",INDEX(CS_CONS_LINK_ARRAY,MATCH($C229,CS_CONS_LINK_COLUMN,0),MATCH(L$1,CS_CONS_LINK_ROW,0))))</f>
      </c>
      <c r="M229" s="142"/>
      <c r="N229" s="170">
        <v>620</v>
      </c>
      <c r="O229" s="141">
        <f aca="true" t="shared" si="50" ref="O229:Q234">IF(O$27="No","–",IF(INDEX(CS_CONS_LINK_ARRAY,MATCH($C229,CS_CONS_LINK_COLUMN,0),MATCH(O$1,CS_CONS_LINK_ROW,0))="","",INDEX(CS_CONS_LINK_ARRAY,MATCH($C229,CS_CONS_LINK_COLUMN,0),MATCH(O$1,CS_CONS_LINK_ROW,0))))</f>
      </c>
      <c r="P229" s="141">
        <f t="shared" si="50"/>
      </c>
      <c r="Q229" s="141">
        <f t="shared" si="50"/>
      </c>
      <c r="R229" s="33"/>
      <c r="S229" s="45"/>
      <c r="T229" s="33"/>
      <c r="U229" s="38" t="s">
        <v>26</v>
      </c>
      <c r="V229" s="33"/>
      <c r="W229" s="37">
        <f>IF(L229="–",0,IF($U229="Positive Number",IF(OR(L229&lt;0,ISTEXT(L229),ISERROR(L229)),1,0),IF(OR(ISTEXT(L229),ISERROR(L229)),1,0)))</f>
        <v>1</v>
      </c>
      <c r="X229" s="57">
        <f>IF(O229="–",0,IF($U229="Positive Number",IF(OR(O229&lt;0,ISTEXT(O229),ISERROR(O229)),1,0),IF(OR(ISTEXT(O229),ISERROR(O229)),1,0)))</f>
        <v>1</v>
      </c>
      <c r="Y229" s="57">
        <f>IF(P229="–",0,IF($U229="Positive Number",IF(OR(P229&lt;0,ISTEXT(P229),ISERROR(P229)),1,0),IF(OR(ISTEXT(P229),ISERROR(P229)),1,0)))</f>
        <v>1</v>
      </c>
      <c r="Z229" s="57">
        <f>IF(Q229="–",0,IF($U229="Positive Number",IF(OR(Q229&lt;0,ISTEXT(Q229),ISERROR(Q229)),1,0),IF(OR(ISTEXT(Q229),ISERROR(Q229)),1,0)))</f>
        <v>1</v>
      </c>
      <c r="AA229" s="389"/>
      <c r="AB229" s="47"/>
    </row>
    <row r="230" spans="1:28" ht="13.5" customHeight="1">
      <c r="A230" s="1"/>
      <c r="B230" s="324"/>
      <c r="C230" s="4" t="str">
        <f t="shared" si="49"/>
        <v>APACWMC – Income statement – Recurring commissions and fees</v>
      </c>
      <c r="D230" s="473" t="s">
        <v>140</v>
      </c>
      <c r="E230" s="290"/>
      <c r="F230" s="33"/>
      <c r="G230" s="170">
        <v>90</v>
      </c>
      <c r="H230" s="170">
        <v>94</v>
      </c>
      <c r="I230" s="170">
        <v>97</v>
      </c>
      <c r="J230" s="170">
        <v>100</v>
      </c>
      <c r="K230" s="170">
        <v>111</v>
      </c>
      <c r="L230" s="141">
        <f>IF(L$27="No","–",IF(INDEX(CS_CONS_LINK_ARRAY,MATCH($C230,CS_CONS_LINK_COLUMN,0),MATCH(L$1,CS_CONS_LINK_ROW,0))="","",INDEX(CS_CONS_LINK_ARRAY,MATCH($C230,CS_CONS_LINK_COLUMN,0),MATCH(L$1,CS_CONS_LINK_ROW,0))))</f>
      </c>
      <c r="M230" s="142"/>
      <c r="N230" s="170">
        <v>381</v>
      </c>
      <c r="O230" s="141">
        <f t="shared" si="50"/>
      </c>
      <c r="P230" s="141">
        <f t="shared" si="50"/>
      </c>
      <c r="Q230" s="141">
        <f t="shared" si="50"/>
      </c>
      <c r="R230" s="33"/>
      <c r="S230" s="45"/>
      <c r="T230" s="33"/>
      <c r="U230" s="38" t="s">
        <v>26</v>
      </c>
      <c r="V230" s="33"/>
      <c r="W230" s="37">
        <f>IF(L230="–",0,IF($U230="Positive Number",IF(OR(L230&lt;0,ISTEXT(L230),ISERROR(L230)),1,0),IF(OR(ISTEXT(L230),ISERROR(L230)),1,0)))</f>
        <v>1</v>
      </c>
      <c r="X230" s="57">
        <f aca="true" t="shared" si="51" ref="X230:Z231">IF(O230="–",0,IF($U230="Positive Number",IF(OR(O230&lt;0,ISTEXT(O230),ISERROR(O230)),1,0),IF(OR(ISTEXT(O230),ISERROR(O230)),1,0)))</f>
        <v>1</v>
      </c>
      <c r="Y230" s="57">
        <f t="shared" si="51"/>
        <v>1</v>
      </c>
      <c r="Z230" s="57">
        <f t="shared" si="51"/>
        <v>1</v>
      </c>
      <c r="AA230" s="389"/>
      <c r="AB230" s="47"/>
    </row>
    <row r="231" spans="1:28" ht="13.5" customHeight="1">
      <c r="A231" s="1"/>
      <c r="B231" s="323"/>
      <c r="C231" s="4" t="str">
        <f t="shared" si="49"/>
        <v>APACWMC – Income statement – Transaction and performance-based revenues</v>
      </c>
      <c r="D231" s="473" t="s">
        <v>141</v>
      </c>
      <c r="E231" s="290"/>
      <c r="F231" s="33"/>
      <c r="G231" s="170">
        <v>154</v>
      </c>
      <c r="H231" s="170">
        <v>149</v>
      </c>
      <c r="I231" s="170">
        <v>159</v>
      </c>
      <c r="J231" s="170">
        <v>144</v>
      </c>
      <c r="K231" s="170">
        <v>185</v>
      </c>
      <c r="L231" s="141">
        <f>IF(L$27="No","–",IF(INDEX(CS_CONS_LINK_ARRAY,MATCH($C231,CS_CONS_LINK_COLUMN,0),MATCH(L$1,CS_CONS_LINK_ROW,0))="","",INDEX(CS_CONS_LINK_ARRAY,MATCH($C231,CS_CONS_LINK_COLUMN,0),MATCH(L$1,CS_CONS_LINK_ROW,0))))</f>
      </c>
      <c r="M231" s="142"/>
      <c r="N231" s="170">
        <v>606</v>
      </c>
      <c r="O231" s="141">
        <f t="shared" si="50"/>
      </c>
      <c r="P231" s="141">
        <f t="shared" si="50"/>
      </c>
      <c r="Q231" s="141">
        <f t="shared" si="50"/>
      </c>
      <c r="R231" s="33"/>
      <c r="S231" s="45"/>
      <c r="T231" s="33"/>
      <c r="U231" s="38" t="s">
        <v>26</v>
      </c>
      <c r="V231" s="33"/>
      <c r="W231" s="37">
        <f>IF(L231="–",0,IF($U231="Positive Number",IF(OR(L231&lt;0,ISTEXT(L231),ISERROR(L231)),1,0),IF(OR(ISTEXT(L231),ISERROR(L231)),1,0)))</f>
        <v>1</v>
      </c>
      <c r="X231" s="57">
        <f t="shared" si="51"/>
        <v>1</v>
      </c>
      <c r="Y231" s="57">
        <f t="shared" si="51"/>
        <v>1</v>
      </c>
      <c r="Z231" s="57">
        <f t="shared" si="51"/>
        <v>1</v>
      </c>
      <c r="AA231" s="389"/>
      <c r="AB231" s="47"/>
    </row>
    <row r="232" spans="1:28" s="207" customFormat="1" ht="13.5" customHeight="1">
      <c r="A232" s="1"/>
      <c r="B232" s="323"/>
      <c r="C232" s="4" t="str">
        <f t="shared" si="49"/>
        <v>APACWMC – Income statement – Other revenues</v>
      </c>
      <c r="D232" s="473" t="s">
        <v>136</v>
      </c>
      <c r="E232" s="290"/>
      <c r="F232" s="33"/>
      <c r="G232" s="170">
        <v>-1</v>
      </c>
      <c r="H232" s="170">
        <v>1</v>
      </c>
      <c r="I232" s="170">
        <v>0</v>
      </c>
      <c r="J232" s="170">
        <v>0</v>
      </c>
      <c r="K232" s="170">
        <v>0</v>
      </c>
      <c r="L232" s="141">
        <f>IF(L$27="No","–",IF(INDEX(CS_CONS_LINK_ARRAY,MATCH($C232,CS_CONS_LINK_COLUMN,0),MATCH(L$1,CS_CONS_LINK_ROW,0))="","",INDEX(CS_CONS_LINK_ARRAY,MATCH($C232,CS_CONS_LINK_COLUMN,0),MATCH(L$1,CS_CONS_LINK_ROW,0))))</f>
      </c>
      <c r="M232" s="142"/>
      <c r="N232" s="170">
        <v>0</v>
      </c>
      <c r="O232" s="141">
        <f>IF(O$27="No","–",IF(INDEX(CS_CONS_LINK_ARRAY,MATCH($C232,CS_CONS_LINK_COLUMN,0),MATCH(O$1,CS_CONS_LINK_ROW,0))="","",INDEX(CS_CONS_LINK_ARRAY,MATCH($C232,CS_CONS_LINK_COLUMN,0),MATCH(O$1,CS_CONS_LINK_ROW,0))))</f>
      </c>
      <c r="P232" s="141">
        <f>IF(P$27="No","–",IF(INDEX(CS_CONS_LINK_ARRAY,MATCH($C232,CS_CONS_LINK_COLUMN,0),MATCH(P$1,CS_CONS_LINK_ROW,0))="","",INDEX(CS_CONS_LINK_ARRAY,MATCH($C232,CS_CONS_LINK_COLUMN,0),MATCH(P$1,CS_CONS_LINK_ROW,0))))</f>
      </c>
      <c r="Q232" s="141">
        <f>IF(Q$27="No","–",IF(INDEX(CS_CONS_LINK_ARRAY,MATCH($C232,CS_CONS_LINK_COLUMN,0),MATCH(Q$1,CS_CONS_LINK_ROW,0))="","",INDEX(CS_CONS_LINK_ARRAY,MATCH($C232,CS_CONS_LINK_COLUMN,0),MATCH(Q$1,CS_CONS_LINK_ROW,0))))</f>
      </c>
      <c r="R232" s="33"/>
      <c r="S232" s="45"/>
      <c r="T232" s="33"/>
      <c r="U232" s="237" t="s">
        <v>26</v>
      </c>
      <c r="V232" s="33"/>
      <c r="W232" s="238">
        <f>IF(L232="–",0,IF($U232="Positive Number",IF(OR(L232&lt;0,ISTEXT(L232),ISERROR(L232)),1,0),IF(OR(ISTEXT(L232),ISERROR(L232)),1,0)))</f>
        <v>1</v>
      </c>
      <c r="X232" s="239">
        <f>IF(O232="–",0,IF($U232="Positive Number",IF(OR(O232&lt;0,ISTEXT(O232),ISERROR(O232)),1,0),IF(OR(ISTEXT(O232),ISERROR(O232)),1,0)))</f>
        <v>1</v>
      </c>
      <c r="Y232" s="239">
        <f>IF(P232="–",0,IF($U232="Positive Number",IF(OR(P232&lt;0,ISTEXT(P232),ISERROR(P232)),1,0),IF(OR(ISTEXT(P232),ISERROR(P232)),1,0)))</f>
        <v>1</v>
      </c>
      <c r="Z232" s="239">
        <f>IF(Q232="–",0,IF($U232="Positive Number",IF(OR(Q232&lt;0,ISTEXT(Q232),ISERROR(Q232)),1,0),IF(OR(ISTEXT(Q232),ISERROR(Q232)),1,0)))</f>
        <v>1</v>
      </c>
      <c r="AA232" s="322"/>
      <c r="AB232" s="47"/>
    </row>
    <row r="233" spans="1:28" s="207" customFormat="1" ht="13.5" customHeight="1">
      <c r="A233" s="1"/>
      <c r="B233" s="323"/>
      <c r="C233" s="4" t="str">
        <f t="shared" si="49"/>
        <v>APACWMC – Income statement – Private Banking</v>
      </c>
      <c r="D233" s="288" t="s">
        <v>268</v>
      </c>
      <c r="E233" s="290"/>
      <c r="F233" s="33"/>
      <c r="G233" s="145">
        <f>IF(ISERROR(G229+G230+G231+G232),"–",G229+G230+G231+G232)</f>
        <v>411</v>
      </c>
      <c r="H233" s="145">
        <f>IF(ISERROR(H229+H230+H231+H232),"–",H229+H230+H231+H232)</f>
        <v>405</v>
      </c>
      <c r="I233" s="145">
        <f>IF(ISERROR(I229+I230+I231+I232),"–",I229+I230+I231+I232)</f>
        <v>400</v>
      </c>
      <c r="J233" s="145">
        <f>IF(ISERROR(J229+J230+J231+J232),"–",J229+J230+J231+J232)</f>
        <v>391</v>
      </c>
      <c r="K233" s="145">
        <f>IF(ISERROR(K229+K230+K231+K232),"–",K229+K230+K231+K232)</f>
        <v>455</v>
      </c>
      <c r="L233" s="145" t="str">
        <f>IF(ISERROR(L229+L230+L231+L232),"–",L229+L230+L231+L232)</f>
        <v>–</v>
      </c>
      <c r="M233" s="161"/>
      <c r="N233" s="145">
        <f>IF(ISERROR(N229+N230+N231+N232),"–",N229+N230+N231+N232)</f>
        <v>1607</v>
      </c>
      <c r="O233" s="145" t="str">
        <f>IF(ISERROR(O229+O230+O231+O232),"–",O229+O230+O231+O232)</f>
        <v>–</v>
      </c>
      <c r="P233" s="145" t="str">
        <f>IF(ISERROR(P229+P230+P231+P232),"–",P229+P230+P231+P232)</f>
        <v>–</v>
      </c>
      <c r="Q233" s="145" t="str">
        <f>IF(ISERROR(Q229+Q230+Q231+Q232),"–",Q229+Q230+Q231+Q232)</f>
        <v>–</v>
      </c>
      <c r="R233" s="33"/>
      <c r="S233" s="45"/>
      <c r="T233" s="33"/>
      <c r="U233" s="237"/>
      <c r="V233" s="33"/>
      <c r="W233" s="238"/>
      <c r="X233" s="239"/>
      <c r="Y233" s="239"/>
      <c r="Z233" s="239"/>
      <c r="AA233" s="322"/>
      <c r="AB233" s="47"/>
    </row>
    <row r="234" spans="1:28" ht="13.5" customHeight="1">
      <c r="A234" s="1"/>
      <c r="B234" s="323"/>
      <c r="C234" s="4" t="str">
        <f t="shared" si="49"/>
        <v>APACWMC – Income statement – Advisory, underwriting and financing</v>
      </c>
      <c r="D234" s="218" t="s">
        <v>269</v>
      </c>
      <c r="E234" s="290"/>
      <c r="F234" s="33"/>
      <c r="G234" s="170">
        <v>178</v>
      </c>
      <c r="H234" s="170">
        <v>154</v>
      </c>
      <c r="I234" s="170">
        <v>148</v>
      </c>
      <c r="J234" s="170">
        <v>235</v>
      </c>
      <c r="K234" s="170">
        <v>208</v>
      </c>
      <c r="L234" s="141">
        <f>IF(L$27="No","–",IF(INDEX(CS_CONS_LINK_ARRAY,MATCH($C234,CS_CONS_LINK_COLUMN,0),MATCH(L$1,CS_CONS_LINK_ROW,0))="","",INDEX(CS_CONS_LINK_ARRAY,MATCH($C234,CS_CONS_LINK_COLUMN,0),MATCH(L$1,CS_CONS_LINK_ROW,0))))</f>
      </c>
      <c r="M234" s="142"/>
      <c r="N234" s="170">
        <v>715</v>
      </c>
      <c r="O234" s="141">
        <f t="shared" si="50"/>
      </c>
      <c r="P234" s="141">
        <f t="shared" si="50"/>
      </c>
      <c r="Q234" s="141">
        <f t="shared" si="50"/>
      </c>
      <c r="R234" s="33"/>
      <c r="S234" s="45"/>
      <c r="T234" s="33"/>
      <c r="U234" s="38"/>
      <c r="V234" s="33"/>
      <c r="W234" s="37"/>
      <c r="X234" s="57"/>
      <c r="Y234" s="57"/>
      <c r="Z234" s="57"/>
      <c r="AA234" s="389"/>
      <c r="AB234" s="47"/>
    </row>
    <row r="235" spans="1:28" ht="13.5" customHeight="1">
      <c r="A235" s="1"/>
      <c r="B235" s="323"/>
      <c r="C235" s="4" t="str">
        <f t="shared" si="49"/>
        <v>APACWMC – Income statement – Net revenues</v>
      </c>
      <c r="D235" s="75" t="s">
        <v>1</v>
      </c>
      <c r="E235" s="83"/>
      <c r="F235" s="33"/>
      <c r="G235" s="146">
        <f>IF(ISERROR(G233+G234),"–",G233+G234)</f>
        <v>589</v>
      </c>
      <c r="H235" s="146">
        <f>IF(ISERROR(H233+H234),"–",H233+H234)</f>
        <v>559</v>
      </c>
      <c r="I235" s="146">
        <f>IF(ISERROR(I233+I234),"–",I233+I234)</f>
        <v>548</v>
      </c>
      <c r="J235" s="146">
        <f>IF(ISERROR(J233+J234),"–",J233+J234)</f>
        <v>626</v>
      </c>
      <c r="K235" s="146">
        <f>IF(ISERROR(K233+K234),"–",K233+K234)</f>
        <v>663</v>
      </c>
      <c r="L235" s="146" t="str">
        <f>IF(ISERROR(L233+L234),"–",L233+L234)</f>
        <v>–</v>
      </c>
      <c r="M235" s="142"/>
      <c r="N235" s="146">
        <f>IF(ISERROR(N233+N234),"–",N233+N234)</f>
        <v>2322</v>
      </c>
      <c r="O235" s="146" t="str">
        <f>IF(ISERROR(O233+O234),"–",O233+O234)</f>
        <v>–</v>
      </c>
      <c r="P235" s="146" t="str">
        <f>IF(ISERROR(P233+P234),"–",P233+P234)</f>
        <v>–</v>
      </c>
      <c r="Q235" s="146" t="str">
        <f>IF(ISERROR(Q233+Q234),"–",Q233+Q234)</f>
        <v>–</v>
      </c>
      <c r="R235" s="33"/>
      <c r="S235" s="45"/>
      <c r="T235" s="33"/>
      <c r="U235" s="4"/>
      <c r="V235" s="33"/>
      <c r="W235" s="5"/>
      <c r="X235" s="54"/>
      <c r="Y235" s="54"/>
      <c r="Z235" s="54"/>
      <c r="AA235" s="389"/>
      <c r="AB235" s="47"/>
    </row>
    <row r="236" spans="1:28" ht="13.5" customHeight="1">
      <c r="A236" s="10"/>
      <c r="B236" s="323"/>
      <c r="C236" s="4" t="str">
        <f t="shared" si="49"/>
        <v>APACWMC – Income statement – Provision for credit losses</v>
      </c>
      <c r="D236" s="288" t="s">
        <v>5</v>
      </c>
      <c r="E236" s="289"/>
      <c r="F236" s="33"/>
      <c r="G236" s="145">
        <v>4</v>
      </c>
      <c r="H236" s="145">
        <v>-1</v>
      </c>
      <c r="I236" s="145">
        <v>5</v>
      </c>
      <c r="J236" s="145">
        <v>7</v>
      </c>
      <c r="K236" s="145">
        <v>9</v>
      </c>
      <c r="L236" s="147">
        <f>IF(L$27="No","–",IF(INDEX(CS_CONS_LINK_ARRAY,MATCH($C236,CS_CONS_LINK_COLUMN,0),MATCH(L$1,CS_CONS_LINK_ROW,0))="","",INDEX(CS_CONS_LINK_ARRAY,MATCH($C236,CS_CONS_LINK_COLUMN,0),MATCH(L$1,CS_CONS_LINK_ROW,0))))</f>
      </c>
      <c r="M236" s="142"/>
      <c r="N236" s="145">
        <v>15</v>
      </c>
      <c r="O236" s="147">
        <f>IF(O$27="No","–",IF(INDEX(CS_CONS_LINK_ARRAY,MATCH($C236,CS_CONS_LINK_COLUMN,0),MATCH(O$1,CS_CONS_LINK_ROW,0))="","",INDEX(CS_CONS_LINK_ARRAY,MATCH($C236,CS_CONS_LINK_COLUMN,0),MATCH(O$1,CS_CONS_LINK_ROW,0))))</f>
      </c>
      <c r="P236" s="147">
        <f>IF(P$27="No","–",IF(INDEX(CS_CONS_LINK_ARRAY,MATCH($C236,CS_CONS_LINK_COLUMN,0),MATCH(P$1,CS_CONS_LINK_ROW,0))="","",INDEX(CS_CONS_LINK_ARRAY,MATCH($C236,CS_CONS_LINK_COLUMN,0),MATCH(P$1,CS_CONS_LINK_ROW,0))))</f>
      </c>
      <c r="Q236" s="147">
        <f>IF(Q$27="No","–",IF(INDEX(CS_CONS_LINK_ARRAY,MATCH($C236,CS_CONS_LINK_COLUMN,0),MATCH(Q$1,CS_CONS_LINK_ROW,0))="","",INDEX(CS_CONS_LINK_ARRAY,MATCH($C236,CS_CONS_LINK_COLUMN,0),MATCH(Q$1,CS_CONS_LINK_ROW,0))))</f>
      </c>
      <c r="R236" s="33"/>
      <c r="S236" s="45"/>
      <c r="T236" s="33"/>
      <c r="U236" s="38" t="s">
        <v>26</v>
      </c>
      <c r="V236" s="33"/>
      <c r="W236" s="37">
        <f>IF(L236="–",0,IF($U236="Positive Number",IF(OR(L236&lt;0,ISTEXT(L236),ISERROR(L236)),1,0),IF(OR(ISTEXT(L236),ISERROR(L236)),1,0)))</f>
        <v>1</v>
      </c>
      <c r="X236" s="57">
        <f aca="true" t="shared" si="52" ref="X236:Z238">IF(O236="–",0,IF($U236="Positive Number",IF(OR(O236&lt;0,ISTEXT(O236),ISERROR(O236)),1,0),IF(OR(ISTEXT(O236),ISERROR(O236)),1,0)))</f>
        <v>1</v>
      </c>
      <c r="Y236" s="57">
        <f t="shared" si="52"/>
        <v>1</v>
      </c>
      <c r="Z236" s="57">
        <f t="shared" si="52"/>
        <v>1</v>
      </c>
      <c r="AA236" s="389"/>
      <c r="AB236" s="64"/>
    </row>
    <row r="237" spans="1:28" s="207" customFormat="1" ht="13.5" customHeight="1">
      <c r="A237" s="1"/>
      <c r="B237" s="323"/>
      <c r="C237" s="4" t="str">
        <f t="shared" si="49"/>
        <v>APACWMC – Income statement – Compensation and benefits</v>
      </c>
      <c r="D237" s="76" t="s">
        <v>6</v>
      </c>
      <c r="E237" s="84"/>
      <c r="F237" s="33"/>
      <c r="G237" s="170">
        <v>267</v>
      </c>
      <c r="H237" s="170">
        <v>244</v>
      </c>
      <c r="I237" s="170">
        <v>250</v>
      </c>
      <c r="J237" s="170">
        <v>241</v>
      </c>
      <c r="K237" s="170">
        <v>270</v>
      </c>
      <c r="L237" s="141">
        <f>IF(L$27="No","–",IF(INDEX(CS_CONS_LINK_ARRAY,MATCH($C237,CS_CONS_LINK_COLUMN,0),MATCH(L$1,CS_CONS_LINK_ROW,0))="","",INDEX(CS_CONS_LINK_ARRAY,MATCH($C237,CS_CONS_LINK_COLUMN,0),MATCH(L$1,CS_CONS_LINK_ROW,0))))</f>
      </c>
      <c r="M237" s="142"/>
      <c r="N237" s="170">
        <v>1002</v>
      </c>
      <c r="O237" s="141">
        <f aca="true" t="shared" si="53" ref="O237:Q238">IF(O$27="No","–",IF(INDEX(CS_CONS_LINK_ARRAY,MATCH($C237,CS_CONS_LINK_COLUMN,0),MATCH(O$1,CS_CONS_LINK_ROW,0))="","",INDEX(CS_CONS_LINK_ARRAY,MATCH($C237,CS_CONS_LINK_COLUMN,0),MATCH(O$1,CS_CONS_LINK_ROW,0))))</f>
      </c>
      <c r="P237" s="141">
        <f t="shared" si="53"/>
      </c>
      <c r="Q237" s="141">
        <f t="shared" si="53"/>
      </c>
      <c r="R237" s="33"/>
      <c r="S237" s="45"/>
      <c r="T237" s="33"/>
      <c r="U237" s="237" t="s">
        <v>25</v>
      </c>
      <c r="V237" s="33"/>
      <c r="W237" s="238">
        <f>IF(L237="–",0,IF($U237="Positive Number",IF(OR(L237&lt;0,ISTEXT(L237),ISERROR(L237)),1,0),IF(OR(ISTEXT(L237),ISERROR(L237)),1,0)))</f>
        <v>1</v>
      </c>
      <c r="X237" s="239">
        <f t="shared" si="52"/>
        <v>1</v>
      </c>
      <c r="Y237" s="239">
        <f t="shared" si="52"/>
        <v>1</v>
      </c>
      <c r="Z237" s="239">
        <f t="shared" si="52"/>
        <v>1</v>
      </c>
      <c r="AA237" s="322"/>
      <c r="AB237" s="47"/>
    </row>
    <row r="238" spans="1:28" s="207" customFormat="1" ht="13.5" customHeight="1">
      <c r="A238" s="1"/>
      <c r="B238" s="323"/>
      <c r="C238" s="4" t="str">
        <f t="shared" si="49"/>
        <v>APACWMC – Income statement – Total other operating expenses</v>
      </c>
      <c r="D238" s="76" t="s">
        <v>137</v>
      </c>
      <c r="E238" s="84"/>
      <c r="F238" s="33"/>
      <c r="G238" s="170">
        <v>117</v>
      </c>
      <c r="H238" s="170">
        <v>120</v>
      </c>
      <c r="I238" s="170">
        <v>120</v>
      </c>
      <c r="J238" s="170">
        <v>149</v>
      </c>
      <c r="K238" s="170">
        <v>179</v>
      </c>
      <c r="L238" s="141">
        <f>IF(L$27="No","–",IF(INDEX(CS_CONS_LINK_ARRAY,MATCH($C238,CS_CONS_LINK_COLUMN,0),MATCH(L$1,CS_CONS_LINK_ROW,0))="","",INDEX(CS_CONS_LINK_ARRAY,MATCH($C238,CS_CONS_LINK_COLUMN,0),MATCH(L$1,CS_CONS_LINK_ROW,0))))</f>
      </c>
      <c r="M238" s="142"/>
      <c r="N238" s="170">
        <v>506</v>
      </c>
      <c r="O238" s="141">
        <f t="shared" si="53"/>
      </c>
      <c r="P238" s="141">
        <f t="shared" si="53"/>
      </c>
      <c r="Q238" s="141">
        <f t="shared" si="53"/>
      </c>
      <c r="R238" s="33"/>
      <c r="S238" s="45"/>
      <c r="T238" s="33"/>
      <c r="U238" s="237" t="s">
        <v>25</v>
      </c>
      <c r="V238" s="33"/>
      <c r="W238" s="238">
        <f>IF(L238="–",0,IF($U238="Positive Number",IF(OR(L238&lt;0,ISTEXT(L238),ISERROR(L238)),1,0),IF(OR(ISTEXT(L238),ISERROR(L238)),1,0)))</f>
        <v>1</v>
      </c>
      <c r="X238" s="239">
        <f t="shared" si="52"/>
        <v>1</v>
      </c>
      <c r="Y238" s="239">
        <f t="shared" si="52"/>
        <v>1</v>
      </c>
      <c r="Z238" s="239">
        <f t="shared" si="52"/>
        <v>1</v>
      </c>
      <c r="AA238" s="322"/>
      <c r="AB238" s="47"/>
    </row>
    <row r="239" spans="1:28" ht="13.5" customHeight="1">
      <c r="A239" s="1"/>
      <c r="B239" s="323"/>
      <c r="C239" s="4" t="str">
        <f t="shared" si="49"/>
        <v>APACWMC – Income statement – Total operating expenses</v>
      </c>
      <c r="D239" s="288" t="s">
        <v>7</v>
      </c>
      <c r="E239" s="289"/>
      <c r="F239" s="33"/>
      <c r="G239" s="146">
        <f>IF(ISERROR(G237+G238),"–",G237+G238)</f>
        <v>384</v>
      </c>
      <c r="H239" s="146">
        <f>IF(ISERROR(H237+H238),"–",H237+H238)</f>
        <v>364</v>
      </c>
      <c r="I239" s="146">
        <f>IF(ISERROR(I237+I238),"–",I237+I238)</f>
        <v>370</v>
      </c>
      <c r="J239" s="146">
        <f>IF(ISERROR(J237+J238),"–",J237+J238)</f>
        <v>390</v>
      </c>
      <c r="K239" s="146">
        <f>IF(ISERROR(K237+K238),"–",K237+K238)</f>
        <v>449</v>
      </c>
      <c r="L239" s="146" t="str">
        <f>IF(ISERROR(L237+L238),"–",L237+L238)</f>
        <v>–</v>
      </c>
      <c r="M239" s="142"/>
      <c r="N239" s="146">
        <f>IF(ISERROR(N237+N238),"–",N237+N238)</f>
        <v>1508</v>
      </c>
      <c r="O239" s="146" t="str">
        <f>IF(ISERROR(O237+O238),"–",O237+O238)</f>
        <v>–</v>
      </c>
      <c r="P239" s="146" t="str">
        <f>IF(ISERROR(P237+P238),"–",P237+P238)</f>
        <v>–</v>
      </c>
      <c r="Q239" s="146" t="str">
        <f>IF(ISERROR(Q237+Q238),"–",Q237+Q238)</f>
        <v>–</v>
      </c>
      <c r="R239" s="33"/>
      <c r="S239" s="45"/>
      <c r="T239" s="33"/>
      <c r="U239" s="4"/>
      <c r="V239" s="33"/>
      <c r="W239" s="5"/>
      <c r="X239" s="54"/>
      <c r="Y239" s="54"/>
      <c r="Z239" s="54"/>
      <c r="AA239" s="389"/>
      <c r="AB239" s="47"/>
    </row>
    <row r="240" spans="1:28" ht="13.5" customHeight="1">
      <c r="A240" s="1"/>
      <c r="B240" s="323"/>
      <c r="C240" s="4" t="str">
        <f t="shared" si="49"/>
        <v>APACWMC – Income statement – Income from continuing operations before taxes</v>
      </c>
      <c r="D240" s="75" t="s">
        <v>8</v>
      </c>
      <c r="E240" s="83"/>
      <c r="F240" s="33"/>
      <c r="G240" s="145">
        <f>IF(ISERROR(G235-G236-G239),"–",G235-G236-G239)</f>
        <v>201</v>
      </c>
      <c r="H240" s="145">
        <f>IF(ISERROR(H235-H236-H239),"–",H235-H236-H239)</f>
        <v>196</v>
      </c>
      <c r="I240" s="145">
        <f>IF(ISERROR(I235-I236-I239),"–",I235-I236-I239)</f>
        <v>173</v>
      </c>
      <c r="J240" s="145">
        <f>IF(ISERROR(J235-J236-J239),"–",J235-J236-J239)</f>
        <v>229</v>
      </c>
      <c r="K240" s="145">
        <f>IF(ISERROR(K235-K236-K239),"–",K235-K236-K239)</f>
        <v>205</v>
      </c>
      <c r="L240" s="145" t="str">
        <f>IF(ISERROR(L235-L236-L239),"–",L235-L236-L239)</f>
        <v>–</v>
      </c>
      <c r="M240" s="142"/>
      <c r="N240" s="145">
        <f>IF(ISERROR(N235-N236-N239),"–",N235-N236-N239)</f>
        <v>799</v>
      </c>
      <c r="O240" s="145" t="str">
        <f>IF(ISERROR(O235-O236-O239),"–",O235-O236-O239)</f>
        <v>–</v>
      </c>
      <c r="P240" s="145" t="str">
        <f>IF(ISERROR(P235-P236-P239),"–",P235-P236-P239)</f>
        <v>–</v>
      </c>
      <c r="Q240" s="145" t="str">
        <f>IF(ISERROR(Q235-Q236-Q239),"–",Q235-Q236-Q239)</f>
        <v>–</v>
      </c>
      <c r="R240" s="33"/>
      <c r="S240" s="45"/>
      <c r="T240" s="33"/>
      <c r="U240" s="4"/>
      <c r="V240" s="33"/>
      <c r="W240" s="5"/>
      <c r="X240" s="54"/>
      <c r="Y240" s="54"/>
      <c r="Z240" s="54"/>
      <c r="AA240" s="389"/>
      <c r="AB240" s="47"/>
    </row>
    <row r="241" spans="1:28" ht="13.5" customHeight="1">
      <c r="A241" s="1"/>
      <c r="B241" s="323"/>
      <c r="C241" s="6"/>
      <c r="D241" s="7"/>
      <c r="E241" s="7"/>
      <c r="F241" s="33"/>
      <c r="G241" s="149"/>
      <c r="H241" s="149"/>
      <c r="I241" s="149"/>
      <c r="J241" s="149"/>
      <c r="K241" s="149"/>
      <c r="L241" s="149"/>
      <c r="M241" s="142"/>
      <c r="N241" s="149"/>
      <c r="O241" s="149"/>
      <c r="P241" s="149"/>
      <c r="Q241" s="149"/>
      <c r="R241" s="33"/>
      <c r="S241" s="8"/>
      <c r="T241" s="33"/>
      <c r="U241" s="6"/>
      <c r="V241" s="33"/>
      <c r="W241" s="8"/>
      <c r="X241" s="8"/>
      <c r="Y241" s="8"/>
      <c r="Z241" s="8"/>
      <c r="AA241" s="389"/>
      <c r="AB241" s="47"/>
    </row>
    <row r="242" spans="1:28" ht="13.5" customHeight="1" hidden="1">
      <c r="A242" s="1"/>
      <c r="B242" s="323"/>
      <c r="C242" s="4" t="str">
        <f>"APACWMC – Income statement – "&amp;D242</f>
        <v>APACWMC – Income statement – Compensation ratio (%)</v>
      </c>
      <c r="D242" s="82" t="s">
        <v>9</v>
      </c>
      <c r="E242" s="91"/>
      <c r="F242" s="33"/>
      <c r="G242" s="151">
        <f>IF(ISERROR(G237/G235),"–",IF(ABS(G237/G235*100)&gt;NM,"–",G237/G235*100))</f>
        <v>45.331069609507644</v>
      </c>
      <c r="H242" s="151">
        <f>IF(ISERROR(H237/H235),"–",IF(ABS(H237/H235*100)&gt;NM,"–",H237/H235*100))</f>
        <v>43.64937388193202</v>
      </c>
      <c r="I242" s="151">
        <f>IF(ISERROR(I237/I235),"–",IF(ABS(I237/I235*100)&gt;NM,"–",I237/I235*100))</f>
        <v>45.62043795620438</v>
      </c>
      <c r="J242" s="151">
        <f>IF(ISERROR(J237/J235),"–",IF(ABS(J237/J235*100)&gt;NM,"–",J237/J235*100))</f>
        <v>38.498402555910545</v>
      </c>
      <c r="K242" s="151">
        <f>IF(ISERROR(K237/K235),"–",IF(ABS(K237/K235*100)&gt;NM,"–",K237/K235*100))</f>
        <v>40.723981900452486</v>
      </c>
      <c r="L242" s="151" t="str">
        <f>IF(ISERROR(L237/L235),"–",IF(ABS(L237/L235*100)&gt;NM,"–",L237/L235*100))</f>
        <v>–</v>
      </c>
      <c r="M242" s="142"/>
      <c r="N242" s="151">
        <f>IF(ISERROR(N237/N235),"–",IF(ABS(N237/N235*100)&gt;NM,"–",N237/N235*100))</f>
        <v>43.15245478036176</v>
      </c>
      <c r="O242" s="151" t="str">
        <f>IF(ISERROR(O237/O235),"–",IF(ABS(O237/O235*100)&gt;NM,"–",O237/O235*100))</f>
        <v>–</v>
      </c>
      <c r="P242" s="151" t="str">
        <f>IF(ISERROR(P237/P235),"–",IF(ABS(P237/P235*100)&gt;NM,"–",P237/P235*100))</f>
        <v>–</v>
      </c>
      <c r="Q242" s="151" t="str">
        <f>IF(ISERROR(Q237/Q235),"–",IF(ABS(Q237/Q235*100)&gt;NM,"–",Q237/Q235*100))</f>
        <v>–</v>
      </c>
      <c r="R242" s="33"/>
      <c r="S242" s="45"/>
      <c r="T242" s="33"/>
      <c r="U242" s="4"/>
      <c r="V242" s="33"/>
      <c r="W242" s="12"/>
      <c r="X242" s="58"/>
      <c r="Y242" s="58"/>
      <c r="Z242" s="58"/>
      <c r="AA242" s="322"/>
      <c r="AB242" s="47"/>
    </row>
    <row r="243" spans="1:28" ht="13.5" customHeight="1" hidden="1">
      <c r="A243" s="1"/>
      <c r="B243" s="323"/>
      <c r="C243" s="4" t="str">
        <f>"APACWMC – Income statement – "&amp;D243</f>
        <v>APACWMC – Income statement – Non-compensation ratio (%)</v>
      </c>
      <c r="D243" s="82" t="s">
        <v>10</v>
      </c>
      <c r="E243" s="91"/>
      <c r="F243" s="33"/>
      <c r="G243" s="151">
        <f>IF(ISERROR(G238/G235),"–",IF(ABS(G238/G235*100)&gt;NM,"–",G238/G235*100))</f>
        <v>19.864176570458405</v>
      </c>
      <c r="H243" s="151">
        <f>IF(ISERROR(H238/H235),"–",IF(ABS(H238/H235*100)&gt;NM,"–",H238/H235*100))</f>
        <v>21.46690518783542</v>
      </c>
      <c r="I243" s="151">
        <f>IF(ISERROR(I238/I235),"–",IF(ABS(I238/I235*100)&gt;NM,"–",I238/I235*100))</f>
        <v>21.897810218978105</v>
      </c>
      <c r="J243" s="151">
        <f>IF(ISERROR(J238/J235),"–",IF(ABS(J238/J235*100)&gt;NM,"–",J238/J235*100))</f>
        <v>23.80191693290735</v>
      </c>
      <c r="K243" s="151">
        <f>IF(ISERROR(K238/K235),"–",IF(ABS(K238/K235*100)&gt;NM,"–",K238/K235*100))</f>
        <v>26.998491704374057</v>
      </c>
      <c r="L243" s="151" t="str">
        <f>IF(ISERROR(L238/L235),"–",IF(ABS(L238/L235*100)&gt;NM,"–",L238/L235*100))</f>
        <v>–</v>
      </c>
      <c r="M243" s="142"/>
      <c r="N243" s="151">
        <f>IF(ISERROR(N238/N235),"–",IF(ABS(N238/N235*100)&gt;NM,"–",N238/N235*100))</f>
        <v>21.791559000861326</v>
      </c>
      <c r="O243" s="151" t="str">
        <f>IF(ISERROR(O238/O235),"–",IF(ABS(O238/O235*100)&gt;NM,"–",O238/O235*100))</f>
        <v>–</v>
      </c>
      <c r="P243" s="151" t="str">
        <f>IF(ISERROR(P238/P235),"–",IF(ABS(P238/P235*100)&gt;NM,"–",P238/P235*100))</f>
        <v>–</v>
      </c>
      <c r="Q243" s="151" t="str">
        <f>IF(ISERROR(Q238/Q235),"–",IF(ABS(Q238/Q235*100)&gt;NM,"–",Q238/Q235*100))</f>
        <v>–</v>
      </c>
      <c r="R243" s="33"/>
      <c r="S243" s="45"/>
      <c r="T243" s="33"/>
      <c r="U243" s="4"/>
      <c r="V243" s="33"/>
      <c r="W243" s="12"/>
      <c r="X243" s="58"/>
      <c r="Y243" s="58"/>
      <c r="Z243" s="58"/>
      <c r="AA243" s="322"/>
      <c r="AB243" s="47"/>
    </row>
    <row r="244" spans="1:28" ht="13.5" customHeight="1">
      <c r="A244" s="1"/>
      <c r="B244" s="323"/>
      <c r="C244" s="4" t="str">
        <f>"APACWMC – Income statement – "&amp;D244</f>
        <v>APACWMC – Income statement – Cost / income ratio (%)</v>
      </c>
      <c r="D244" s="77" t="s">
        <v>11</v>
      </c>
      <c r="E244" s="85"/>
      <c r="F244" s="33"/>
      <c r="G244" s="151">
        <f>IF(ISERROR(G239/G235),"–",IF(ABS(G239/G235*100)&gt;NM,"–",G239/G235*100))</f>
        <v>65.19524617996605</v>
      </c>
      <c r="H244" s="151">
        <f>IF(ISERROR(H239/H235),"–",IF(ABS(H239/H235*100)&gt;NM,"–",H239/H235*100))</f>
        <v>65.11627906976744</v>
      </c>
      <c r="I244" s="151">
        <f>IF(ISERROR(I239/I235),"–",IF(ABS(I239/I235*100)&gt;NM,"–",I239/I235*100))</f>
        <v>67.51824817518248</v>
      </c>
      <c r="J244" s="151">
        <f>IF(ISERROR(J239/J235),"–",IF(ABS(J239/J235*100)&gt;NM,"–",J239/J235*100))</f>
        <v>62.30031948881789</v>
      </c>
      <c r="K244" s="151">
        <f>IF(ISERROR(K239/K235),"–",IF(ABS(K239/K235*100)&gt;NM,"–",K239/K235*100))</f>
        <v>67.72247360482655</v>
      </c>
      <c r="L244" s="151" t="str">
        <f>IF(ISERROR(L239/L235),"–",IF(ABS(L239/L235*100)&gt;NM,"–",L239/L235*100))</f>
        <v>–</v>
      </c>
      <c r="M244" s="142"/>
      <c r="N244" s="151">
        <f>IF(ISERROR(N239/N235),"–",IF(ABS(N239/N235*100)&gt;NM,"–",N239/N235*100))</f>
        <v>64.94401378122309</v>
      </c>
      <c r="O244" s="151" t="str">
        <f>IF(ISERROR(O239/O235),"–",IF(ABS(O239/O235*100)&gt;NM,"–",O239/O235*100))</f>
        <v>–</v>
      </c>
      <c r="P244" s="151" t="str">
        <f>IF(ISERROR(P239/P235),"–",IF(ABS(P239/P235*100)&gt;NM,"–",P239/P235*100))</f>
        <v>–</v>
      </c>
      <c r="Q244" s="151" t="str">
        <f>IF(ISERROR(Q239/Q235),"–",IF(ABS(Q239/Q235*100)&gt;NM,"–",Q239/Q235*100))</f>
        <v>–</v>
      </c>
      <c r="R244" s="33"/>
      <c r="S244" s="45"/>
      <c r="T244" s="33"/>
      <c r="U244" s="4"/>
      <c r="V244" s="33"/>
      <c r="W244" s="13"/>
      <c r="X244" s="59"/>
      <c r="Y244" s="59"/>
      <c r="Z244" s="59"/>
      <c r="AA244" s="389"/>
      <c r="AB244" s="47"/>
    </row>
    <row r="245" spans="1:28" ht="13.5" customHeight="1">
      <c r="A245" s="1"/>
      <c r="B245" s="323"/>
      <c r="C245" s="4" t="str">
        <f>"APACWMC – Income statement – "&amp;D245</f>
        <v>APACWMC – Income statement – Pre-tax income margin (%)</v>
      </c>
      <c r="D245" s="77" t="s">
        <v>12</v>
      </c>
      <c r="E245" s="85"/>
      <c r="F245" s="33"/>
      <c r="G245" s="151">
        <f>IF(ISERROR(G240/G235),"–",IF(ABS(G240/G235*100)&gt;NM,"–",G240/G235*100))</f>
        <v>34.125636672325975</v>
      </c>
      <c r="H245" s="151">
        <f>IF(ISERROR(H240/H235),"–",IF(ABS(H240/H235*100)&gt;NM,"–",H240/H235*100))</f>
        <v>35.062611806797854</v>
      </c>
      <c r="I245" s="151">
        <f>IF(ISERROR(I240/I235),"–",IF(ABS(I240/I235*100)&gt;NM,"–",I240/I235*100))</f>
        <v>31.569343065693428</v>
      </c>
      <c r="J245" s="151">
        <f>IF(ISERROR(J240/J235),"–",IF(ABS(J240/J235*100)&gt;NM,"–",J240/J235*100))</f>
        <v>36.5814696485623</v>
      </c>
      <c r="K245" s="151">
        <f>IF(ISERROR(K240/K235),"–",IF(ABS(K240/K235*100)&gt;NM,"–",K240/K235*100))</f>
        <v>30.920060331825038</v>
      </c>
      <c r="L245" s="151" t="str">
        <f>IF(ISERROR(L240/L235),"–",IF(ABS(L240/L235*100)&gt;NM,"–",L240/L235*100))</f>
        <v>–</v>
      </c>
      <c r="M245" s="142"/>
      <c r="N245" s="151">
        <f>IF(ISERROR(N240/N235),"–",IF(ABS(N240/N235*100)&gt;NM,"–",N240/N235*100))</f>
        <v>34.40999138673557</v>
      </c>
      <c r="O245" s="151" t="str">
        <f>IF(ISERROR(O240/O235),"–",IF(ABS(O240/O235*100)&gt;NM,"–",O240/O235*100))</f>
        <v>–</v>
      </c>
      <c r="P245" s="151" t="str">
        <f>IF(ISERROR(P240/P235),"–",IF(ABS(P240/P235*100)&gt;NM,"–",P240/P235*100))</f>
        <v>–</v>
      </c>
      <c r="Q245" s="151" t="str">
        <f>IF(ISERROR(Q240/Q235),"–",IF(ABS(Q240/Q235*100)&gt;NM,"–",Q240/Q235*100))</f>
        <v>–</v>
      </c>
      <c r="R245" s="33"/>
      <c r="S245" s="45"/>
      <c r="T245" s="33"/>
      <c r="U245" s="4"/>
      <c r="V245" s="33"/>
      <c r="W245" s="13"/>
      <c r="X245" s="59"/>
      <c r="Y245" s="59"/>
      <c r="Z245" s="59"/>
      <c r="AA245" s="389"/>
      <c r="AB245" s="47"/>
    </row>
    <row r="246" spans="1:28" ht="13.5" customHeight="1">
      <c r="A246" s="1"/>
      <c r="B246" s="323"/>
      <c r="C246" s="6"/>
      <c r="D246" s="7"/>
      <c r="E246" s="7"/>
      <c r="F246" s="33"/>
      <c r="G246" s="8"/>
      <c r="H246" s="8"/>
      <c r="I246" s="8"/>
      <c r="J246" s="8"/>
      <c r="K246" s="8"/>
      <c r="L246" s="8"/>
      <c r="M246" s="142"/>
      <c r="N246" s="8"/>
      <c r="O246" s="8"/>
      <c r="P246" s="8"/>
      <c r="Q246" s="8"/>
      <c r="R246" s="33"/>
      <c r="S246" s="8"/>
      <c r="T246" s="33"/>
      <c r="U246" s="2"/>
      <c r="V246" s="41"/>
      <c r="W246" s="20"/>
      <c r="X246" s="20"/>
      <c r="Y246" s="20"/>
      <c r="Z246" s="20"/>
      <c r="AA246" s="389"/>
      <c r="AB246" s="47"/>
    </row>
    <row r="247" spans="1:28" ht="13.5" customHeight="1">
      <c r="A247" s="1"/>
      <c r="B247" s="323"/>
      <c r="C247" s="2"/>
      <c r="D247" s="2"/>
      <c r="E247" s="2"/>
      <c r="F247" s="25"/>
      <c r="G247" s="137"/>
      <c r="H247" s="137"/>
      <c r="I247" s="137"/>
      <c r="J247" s="137"/>
      <c r="K247" s="137"/>
      <c r="L247" s="136"/>
      <c r="M247" s="159"/>
      <c r="N247" s="137"/>
      <c r="O247" s="136"/>
      <c r="P247" s="136"/>
      <c r="Q247" s="136"/>
      <c r="R247" s="25"/>
      <c r="S247" s="2"/>
      <c r="T247" s="25"/>
      <c r="U247" s="2"/>
      <c r="V247" s="25"/>
      <c r="W247" s="2"/>
      <c r="X247" s="2"/>
      <c r="Y247" s="2"/>
      <c r="Z247" s="2"/>
      <c r="AA247" s="389"/>
      <c r="AB247" s="47"/>
    </row>
    <row r="248" spans="1:28" ht="13.5" customHeight="1">
      <c r="A248" s="1"/>
      <c r="B248" s="324"/>
      <c r="C248" s="3"/>
      <c r="D248" s="3" t="s">
        <v>13</v>
      </c>
      <c r="E248" s="3"/>
      <c r="F248" s="41"/>
      <c r="G248" s="168"/>
      <c r="H248" s="168"/>
      <c r="I248" s="168"/>
      <c r="J248" s="168"/>
      <c r="K248" s="168"/>
      <c r="L248" s="168"/>
      <c r="M248" s="167"/>
      <c r="N248" s="168"/>
      <c r="O248" s="168"/>
      <c r="P248" s="168"/>
      <c r="Q248" s="168"/>
      <c r="R248" s="41"/>
      <c r="S248" s="21"/>
      <c r="T248" s="41"/>
      <c r="U248" s="3"/>
      <c r="V248" s="41"/>
      <c r="W248" s="21"/>
      <c r="X248" s="21"/>
      <c r="Y248" s="21"/>
      <c r="Z248" s="21"/>
      <c r="AA248" s="389"/>
      <c r="AB248" s="47"/>
    </row>
    <row r="249" spans="1:28" ht="13.5" customHeight="1">
      <c r="A249" s="1"/>
      <c r="B249" s="323"/>
      <c r="C249" s="4" t="str">
        <f>"APACWMC – Assets under management – "&amp;D249</f>
        <v>APACWMC – Assets under management – Assets under management (beginning of period)</v>
      </c>
      <c r="D249" s="77" t="s">
        <v>62</v>
      </c>
      <c r="E249" s="85"/>
      <c r="F249" s="33"/>
      <c r="G249" s="280">
        <v>166.9</v>
      </c>
      <c r="H249" s="280">
        <v>177.4</v>
      </c>
      <c r="I249" s="280">
        <v>177.8</v>
      </c>
      <c r="J249" s="280">
        <v>190</v>
      </c>
      <c r="K249" s="280">
        <v>196.8</v>
      </c>
      <c r="L249" s="160" t="str">
        <f>IF(OR(L250="–",L250=""),"–",K252)</f>
        <v>–</v>
      </c>
      <c r="M249" s="142"/>
      <c r="N249" s="169">
        <v>166.9</v>
      </c>
      <c r="O249" s="160" t="str">
        <f>IF(OR(O250="–",O250=""),"–",N252)</f>
        <v>–</v>
      </c>
      <c r="P249" s="160" t="str">
        <f>IF(OR(P250="–",P250=""),"–",O252)</f>
        <v>–</v>
      </c>
      <c r="Q249" s="160" t="str">
        <f>IF(OR(Q250="–",Q250=""),"–",P252)</f>
        <v>–</v>
      </c>
      <c r="R249" s="33"/>
      <c r="S249" s="45"/>
      <c r="T249" s="33"/>
      <c r="U249" s="4"/>
      <c r="V249" s="33"/>
      <c r="W249" s="17"/>
      <c r="X249" s="60"/>
      <c r="Y249" s="60"/>
      <c r="Z249" s="60"/>
      <c r="AA249" s="389"/>
      <c r="AB249" s="47"/>
    </row>
    <row r="250" spans="1:28" ht="13.5" customHeight="1">
      <c r="A250" s="1"/>
      <c r="B250" s="324"/>
      <c r="C250" s="4" t="str">
        <f>"APACWMC – Assets under management – "&amp;D250</f>
        <v>APACWMC – Assets under management – Net new assets</v>
      </c>
      <c r="D250" s="295" t="s">
        <v>14</v>
      </c>
      <c r="E250" s="296"/>
      <c r="F250" s="33"/>
      <c r="G250" s="279">
        <v>5.3</v>
      </c>
      <c r="H250" s="279">
        <v>4.5</v>
      </c>
      <c r="I250" s="279">
        <v>5.8</v>
      </c>
      <c r="J250" s="279">
        <v>1.3</v>
      </c>
      <c r="K250" s="279">
        <v>6.2</v>
      </c>
      <c r="L250" s="163">
        <f>IF(L$27="No","–",IF(INDEX(CS_CONS_LINK_ARRAY,MATCH($C250,CS_CONS_LINK_COLUMN,0),MATCH(L$1,CS_CONS_LINK_ROW,0))="","",INDEX(CS_CONS_LINK_ARRAY,MATCH($C250,CS_CONS_LINK_COLUMN,0),MATCH(L$1,CS_CONS_LINK_ROW,0))))</f>
      </c>
      <c r="M250" s="142"/>
      <c r="N250" s="164">
        <v>16.9</v>
      </c>
      <c r="O250" s="163">
        <f>IF(O$27="No","–",IF(INDEX(CS_CONS_LINK_ARRAY,MATCH($C250,CS_CONS_LINK_COLUMN,0),MATCH(O$1,CS_CONS_LINK_ROW,0))="","",INDEX(CS_CONS_LINK_ARRAY,MATCH($C250,CS_CONS_LINK_COLUMN,0),MATCH(O$1,CS_CONS_LINK_ROW,0))))</f>
      </c>
      <c r="P250" s="163">
        <f>IF(P$27="No","–",IF(INDEX(CS_CONS_LINK_ARRAY,MATCH($C250,CS_CONS_LINK_COLUMN,0),MATCH(P$1,CS_CONS_LINK_ROW,0))="","",INDEX(CS_CONS_LINK_ARRAY,MATCH($C250,CS_CONS_LINK_COLUMN,0),MATCH(P$1,CS_CONS_LINK_ROW,0))))</f>
      </c>
      <c r="Q250" s="163">
        <f>IF(Q$27="No","–",IF(INDEX(CS_CONS_LINK_ARRAY,MATCH($C250,CS_CONS_LINK_COLUMN,0),MATCH(Q$1,CS_CONS_LINK_ROW,0))="","",INDEX(CS_CONS_LINK_ARRAY,MATCH($C250,CS_CONS_LINK_COLUMN,0),MATCH(Q$1,CS_CONS_LINK_ROW,0))))</f>
      </c>
      <c r="R250" s="33"/>
      <c r="S250" s="45"/>
      <c r="T250" s="33"/>
      <c r="U250" s="38" t="s">
        <v>26</v>
      </c>
      <c r="V250" s="33"/>
      <c r="W250" s="37">
        <f>IF(L250="–",0,IF($U250="Positive Number",IF(OR(L250&lt;0,ISTEXT(L250),ISERROR(L250)),1,0),IF(OR(ISTEXT(L250),ISERROR(L250)),1,0)))</f>
        <v>1</v>
      </c>
      <c r="X250" s="57">
        <f>IF(O250="–",0,IF($U250="Positive Number",IF(OR(O250&lt;0,ISTEXT(O250),ISERROR(O250)),1,0),IF(OR(ISTEXT(O250),ISERROR(O250)),1,0)))</f>
        <v>1</v>
      </c>
      <c r="Y250" s="57">
        <f>IF(P250="–",0,IF($U250="Positive Number",IF(OR(P250&lt;0,ISTEXT(P250),ISERROR(P250)),1,0),IF(OR(ISTEXT(P250),ISERROR(P250)),1,0)))</f>
        <v>1</v>
      </c>
      <c r="Z250" s="57">
        <f>IF(Q250="–",0,IF($U250="Positive Number",IF(OR(Q250&lt;0,ISTEXT(Q250),ISERROR(Q250)),1,0),IF(OR(ISTEXT(Q250),ISERROR(Q250)),1,0)))</f>
        <v>1</v>
      </c>
      <c r="AA250" s="389"/>
      <c r="AB250" s="47"/>
    </row>
    <row r="251" spans="1:28" ht="13.5" customHeight="1">
      <c r="A251" s="1"/>
      <c r="B251" s="323"/>
      <c r="C251" s="4" t="str">
        <f>"APACWMC – Assets under management – "&amp;D251</f>
        <v>APACWMC – Assets under management – Performance / other</v>
      </c>
      <c r="D251" s="79" t="s">
        <v>15</v>
      </c>
      <c r="E251" s="87"/>
      <c r="F251" s="33"/>
      <c r="G251" s="164">
        <f>IF(ISERROR(G252-G249-G250),"–",G252-G249-G250)</f>
        <v>5.2</v>
      </c>
      <c r="H251" s="164">
        <f>IF(ISERROR(H252-H249-H250),"–",H252-H249-H250)</f>
        <v>-4.099999999999994</v>
      </c>
      <c r="I251" s="164">
        <f>IF(ISERROR(I252-I249-I250),"–",I252-I249-I250)</f>
        <v>6.399999999999989</v>
      </c>
      <c r="J251" s="164">
        <f>IF(ISERROR(J252-J249-J250),"–",J252-J249-J250)</f>
        <v>5.5000000000000115</v>
      </c>
      <c r="K251" s="164">
        <f>IF(ISERROR(K252-K249-K250),"–",K252-K249-K250)</f>
        <v>-3.9000000000000172</v>
      </c>
      <c r="L251" s="164" t="str">
        <f>IF(ISERROR(L252-L249-L250),"–",L252-L249-L250)</f>
        <v>–</v>
      </c>
      <c r="M251" s="142"/>
      <c r="N251" s="164">
        <f>IF(ISERROR(N252-N249-N250),"–",N252-N249-N250)</f>
        <v>13.000000000000007</v>
      </c>
      <c r="O251" s="164" t="str">
        <f>IF(ISERROR(O252-O249-O250),"–",O252-O249-O250)</f>
        <v>–</v>
      </c>
      <c r="P251" s="164" t="str">
        <f>IF(ISERROR(P252-P249-P250),"–",P252-P249-P250)</f>
        <v>–</v>
      </c>
      <c r="Q251" s="164" t="str">
        <f>IF(ISERROR(Q252-Q249-Q250),"–",Q252-Q249-Q250)</f>
        <v>–</v>
      </c>
      <c r="R251" s="33"/>
      <c r="S251" s="45"/>
      <c r="T251" s="33"/>
      <c r="U251" s="4"/>
      <c r="V251" s="33"/>
      <c r="W251" s="16"/>
      <c r="X251" s="61"/>
      <c r="Y251" s="61"/>
      <c r="Z251" s="61"/>
      <c r="AA251" s="389"/>
      <c r="AB251" s="47"/>
    </row>
    <row r="252" spans="1:28" ht="13.5" customHeight="1">
      <c r="A252" s="1"/>
      <c r="B252" s="323"/>
      <c r="C252" s="4" t="str">
        <f>"APACWMC – Assets under management – "&amp;D252</f>
        <v>APACWMC – Assets under management – Assets under management (end of period)</v>
      </c>
      <c r="D252" s="293" t="s">
        <v>63</v>
      </c>
      <c r="E252" s="294"/>
      <c r="F252" s="33"/>
      <c r="G252" s="280">
        <v>177.4</v>
      </c>
      <c r="H252" s="280">
        <v>177.8</v>
      </c>
      <c r="I252" s="280">
        <v>190</v>
      </c>
      <c r="J252" s="280">
        <v>196.8</v>
      </c>
      <c r="K252" s="280">
        <v>199.1</v>
      </c>
      <c r="L252" s="165">
        <f>IF(L$27="No","–",IF(INDEX(CS_CONS_LINK_ARRAY,MATCH($C252,CS_CONS_LINK_COLUMN,0),MATCH(L$1,CS_CONS_LINK_ROW,0))="","",INDEX(CS_CONS_LINK_ARRAY,MATCH($C252,CS_CONS_LINK_COLUMN,0),MATCH(L$1,CS_CONS_LINK_ROW,0))))</f>
      </c>
      <c r="M252" s="142"/>
      <c r="N252" s="169">
        <v>196.8</v>
      </c>
      <c r="O252" s="165">
        <f>IF(O$27="No","–",IF(INDEX(CS_CONS_LINK_ARRAY,MATCH($C252,CS_CONS_LINK_COLUMN,0),MATCH(O$1,CS_CONS_LINK_ROW,0))="","",INDEX(CS_CONS_LINK_ARRAY,MATCH($C252,CS_CONS_LINK_COLUMN,0),MATCH(O$1,CS_CONS_LINK_ROW,0))))</f>
      </c>
      <c r="P252" s="165">
        <f>IF(P$27="No","–",IF(INDEX(CS_CONS_LINK_ARRAY,MATCH($C252,CS_CONS_LINK_COLUMN,0),MATCH(P$1,CS_CONS_LINK_ROW,0))="","",INDEX(CS_CONS_LINK_ARRAY,MATCH($C252,CS_CONS_LINK_COLUMN,0),MATCH(P$1,CS_CONS_LINK_ROW,0))))</f>
      </c>
      <c r="Q252" s="165">
        <f>IF(Q$27="No","–",IF(INDEX(CS_CONS_LINK_ARRAY,MATCH($C252,CS_CONS_LINK_COLUMN,0),MATCH(Q$1,CS_CONS_LINK_ROW,0))="","",INDEX(CS_CONS_LINK_ARRAY,MATCH($C252,CS_CONS_LINK_COLUMN,0),MATCH(Q$1,CS_CONS_LINK_ROW,0))))</f>
      </c>
      <c r="R252" s="33"/>
      <c r="S252" s="45"/>
      <c r="T252" s="33"/>
      <c r="U252" s="38" t="s">
        <v>25</v>
      </c>
      <c r="V252" s="33"/>
      <c r="W252" s="37">
        <f>IF(L252="–",0,IF($U252="Positive Number",IF(OR(L252&lt;0,ISTEXT(L252),ISERROR(L252)),1,0),IF(OR(ISTEXT(L252),ISERROR(L252)),1,0)))</f>
        <v>1</v>
      </c>
      <c r="X252" s="57">
        <f>IF(O252="–",0,IF($U252="Positive Number",IF(OR(O252&lt;0,ISTEXT(O252),ISERROR(O252)),1,0),IF(OR(ISTEXT(O252),ISERROR(O252)),1,0)))</f>
        <v>1</v>
      </c>
      <c r="Y252" s="57">
        <f>IF(P252="–",0,IF($U252="Positive Number",IF(OR(P252&lt;0,ISTEXT(P252),ISERROR(P252)),1,0),IF(OR(ISTEXT(P252),ISERROR(P252)),1,0)))</f>
        <v>1</v>
      </c>
      <c r="Z252" s="57">
        <f>IF(Q252="–",0,IF($U252="Positive Number",IF(OR(Q252&lt;0,ISTEXT(Q252),ISERROR(Q252)),1,0),IF(OR(ISTEXT(Q252),ISERROR(Q252)),1,0)))</f>
        <v>1</v>
      </c>
      <c r="AA252" s="389"/>
      <c r="AB252" s="47"/>
    </row>
    <row r="253" spans="1:28" ht="13.5" customHeight="1" hidden="1">
      <c r="A253" s="1"/>
      <c r="B253" s="323"/>
      <c r="C253" s="4" t="str">
        <f>"APACWMC – Assets under management – "&amp;D253</f>
        <v>APACWMC – Assets under management – Average assets under management</v>
      </c>
      <c r="D253" s="82" t="s">
        <v>16</v>
      </c>
      <c r="E253" s="85"/>
      <c r="F253" s="33"/>
      <c r="G253" s="205">
        <f>IF(ISERROR(G249+G252),"–",(G249+G252)/2)</f>
        <v>172.15</v>
      </c>
      <c r="H253" s="205">
        <f>IF(ISERROR(H249+H252),"–",(H249+H252)/2)</f>
        <v>177.60000000000002</v>
      </c>
      <c r="I253" s="205">
        <f>IF(ISERROR(I249+I252),"–",(I249+I252)/2)</f>
        <v>183.9</v>
      </c>
      <c r="J253" s="205">
        <f>IF(ISERROR(J249+J252),"–",(J249+J252)/2)</f>
        <v>193.4</v>
      </c>
      <c r="K253" s="205">
        <f>IF(ISERROR(K249+K252),"–",(K249+K252)/2)</f>
        <v>197.95</v>
      </c>
      <c r="L253" s="160" t="str">
        <f>IF(ISERROR(L249+L252),"–",(L249+L252)/2)</f>
        <v>–</v>
      </c>
      <c r="M253" s="142"/>
      <c r="N253" s="205">
        <f>IF(ISERROR(N249+N252),"–",(N249+N252)/2)</f>
        <v>181.85000000000002</v>
      </c>
      <c r="O253" s="160" t="str">
        <f>IF(ISERROR(O249+O252),"–",(O249+O252)/2)</f>
        <v>–</v>
      </c>
      <c r="P253" s="160" t="str">
        <f>IF(ISERROR(P249+P252),"–",(P249+P252)/2)</f>
        <v>–</v>
      </c>
      <c r="Q253" s="160" t="str">
        <f>IF(ISERROR(Q249+Q252),"–",(Q249+Q252)/2)</f>
        <v>–</v>
      </c>
      <c r="R253" s="33"/>
      <c r="S253" s="45"/>
      <c r="T253" s="33"/>
      <c r="U253" s="4"/>
      <c r="V253" s="33"/>
      <c r="W253" s="18"/>
      <c r="X253" s="62"/>
      <c r="Y253" s="62"/>
      <c r="Z253" s="62"/>
      <c r="AA253" s="389"/>
      <c r="AB253" s="47"/>
    </row>
    <row r="254" spans="1:28" ht="13.5" customHeight="1">
      <c r="A254" s="1"/>
      <c r="B254" s="323"/>
      <c r="C254" s="6"/>
      <c r="D254" s="7"/>
      <c r="E254" s="7"/>
      <c r="F254" s="33"/>
      <c r="G254" s="149"/>
      <c r="H254" s="149"/>
      <c r="I254" s="149"/>
      <c r="J254" s="149"/>
      <c r="K254" s="149"/>
      <c r="L254" s="149"/>
      <c r="M254" s="142"/>
      <c r="N254" s="149"/>
      <c r="O254" s="149"/>
      <c r="P254" s="149"/>
      <c r="Q254" s="149"/>
      <c r="R254" s="33"/>
      <c r="S254" s="8"/>
      <c r="T254" s="33"/>
      <c r="U254" s="6"/>
      <c r="V254" s="33"/>
      <c r="W254" s="8"/>
      <c r="X254" s="8"/>
      <c r="Y254" s="8"/>
      <c r="Z254" s="8"/>
      <c r="AA254" s="389"/>
      <c r="AB254" s="47"/>
    </row>
    <row r="255" spans="1:28" ht="13.5" customHeight="1">
      <c r="A255" s="10"/>
      <c r="B255" s="323"/>
      <c r="C255" s="4" t="str">
        <f>"APACWMC – Assets under management – "&amp;D255</f>
        <v>APACWMC – Assets under management – Net new asset growth (%)</v>
      </c>
      <c r="D255" s="79" t="s">
        <v>17</v>
      </c>
      <c r="E255" s="87"/>
      <c r="F255" s="33"/>
      <c r="G255" s="150">
        <f>IF(ISERROR(G250/G249),"–",G250/G249*100*(4/1))</f>
        <v>12.702216896345117</v>
      </c>
      <c r="H255" s="150">
        <f>IF(ISERROR(H250/H249),"–",H250/H249*100*(4/1))</f>
        <v>10.146561443066517</v>
      </c>
      <c r="I255" s="150">
        <f>IF(ISERROR(I250/I249),"–",I250/I249*100*(4/1))</f>
        <v>13.048368953880763</v>
      </c>
      <c r="J255" s="150">
        <f>IF(ISERROR(J250/J249),"–",J250/J249*100*(4/1))</f>
        <v>2.736842105263158</v>
      </c>
      <c r="K255" s="150">
        <f>IF(ISERROR(K250/K249),"–",K250/K249*100*(4/1))</f>
        <v>12.601626016260163</v>
      </c>
      <c r="L255" s="150" t="str">
        <f>IF(ISERROR(L250/L249),"–",L250/L249*100*4)</f>
        <v>–</v>
      </c>
      <c r="M255" s="142"/>
      <c r="N255" s="150">
        <f>IF(ISERROR(N250/N249),"–",N250/N249*100)</f>
        <v>10.125823846614738</v>
      </c>
      <c r="O255" s="150" t="str">
        <f>IF(ISERROR(O250/O249),"–",O250/O249*100)</f>
        <v>–</v>
      </c>
      <c r="P255" s="150" t="str">
        <f>IF(ISERROR(P250/P249),"–",P250/P249*100)</f>
        <v>–</v>
      </c>
      <c r="Q255" s="150" t="str">
        <f>IF(ISERROR(Q250/Q249),"–",Q250/Q249*100)</f>
        <v>–</v>
      </c>
      <c r="R255" s="33"/>
      <c r="S255" s="45"/>
      <c r="T255" s="33"/>
      <c r="U255" s="4"/>
      <c r="V255" s="33"/>
      <c r="W255" s="12"/>
      <c r="X255" s="58"/>
      <c r="Y255" s="58"/>
      <c r="Z255" s="58"/>
      <c r="AA255" s="389"/>
      <c r="AB255" s="64"/>
    </row>
    <row r="256" spans="1:28" ht="13.5" customHeight="1">
      <c r="A256" s="1"/>
      <c r="B256" s="323"/>
      <c r="C256" s="4" t="str">
        <f>"APACWMC – Assets under management – "&amp;D256</f>
        <v>APACWMC – Assets under management – Performance / other growth (%)</v>
      </c>
      <c r="D256" s="79" t="s">
        <v>18</v>
      </c>
      <c r="E256" s="87"/>
      <c r="F256" s="33"/>
      <c r="G256" s="150">
        <f>IF(ISERROR(G251/G249),"–",G251/G249*100*(4/1))</f>
        <v>12.462552426602755</v>
      </c>
      <c r="H256" s="150">
        <f>IF(ISERROR(H251/H249),"–",H251/H249*100*(4/1))</f>
        <v>-9.244644870349479</v>
      </c>
      <c r="I256" s="150">
        <f>IF(ISERROR(I251/I249),"–",I251/I249*100*(4/1))</f>
        <v>14.398200224971852</v>
      </c>
      <c r="J256" s="150">
        <f>IF(ISERROR(J251/J249),"–",J251/J249*100*(4/1))</f>
        <v>11.578947368421078</v>
      </c>
      <c r="K256" s="150">
        <f>IF(ISERROR(K251/K249),"–",K251/K249*100*(4/1))</f>
        <v>-7.9268292682927175</v>
      </c>
      <c r="L256" s="150" t="str">
        <f>IF(ISERROR(L251/L249),"–",L251/L249*100*4)</f>
        <v>–</v>
      </c>
      <c r="M256" s="142"/>
      <c r="N256" s="150">
        <f>IF(ISERROR(N251/N249),"–",N251/N249*100)</f>
        <v>7.789095266626727</v>
      </c>
      <c r="O256" s="150" t="str">
        <f>IF(ISERROR(O251/O249),"–",O251/O249*100)</f>
        <v>–</v>
      </c>
      <c r="P256" s="150" t="str">
        <f>IF(ISERROR(P251/P249),"–",P251/P249*100)</f>
        <v>–</v>
      </c>
      <c r="Q256" s="150" t="str">
        <f>IF(ISERROR(Q251/Q249),"–",Q251/Q249*100)</f>
        <v>–</v>
      </c>
      <c r="R256" s="33"/>
      <c r="S256" s="45"/>
      <c r="T256" s="33"/>
      <c r="U256" s="4"/>
      <c r="V256" s="33"/>
      <c r="W256" s="12"/>
      <c r="X256" s="58"/>
      <c r="Y256" s="58"/>
      <c r="Z256" s="58"/>
      <c r="AA256" s="389"/>
      <c r="AB256" s="47"/>
    </row>
    <row r="257" spans="1:28" ht="13.5" customHeight="1">
      <c r="A257" s="10"/>
      <c r="B257" s="323"/>
      <c r="C257" s="4" t="str">
        <f>"APACWMC – Assets under management – "&amp;D257</f>
        <v>APACWMC – Assets under management – Total asset growth (%)</v>
      </c>
      <c r="D257" s="80" t="s">
        <v>20</v>
      </c>
      <c r="E257" s="88"/>
      <c r="F257" s="33"/>
      <c r="G257" s="151">
        <f>IF(ISERROR(G255+G256),"–",G255+G256)</f>
        <v>25.164769322947873</v>
      </c>
      <c r="H257" s="151">
        <f>IF(ISERROR(H255+H256),"–",H255+H256)</f>
        <v>0.9019165727170382</v>
      </c>
      <c r="I257" s="151">
        <f>IF(ISERROR(I255+I256),"–",I255+I256)</f>
        <v>27.446569178852613</v>
      </c>
      <c r="J257" s="151">
        <f>IF(ISERROR(J255+J256),"–",J255+J256)</f>
        <v>14.315789473684235</v>
      </c>
      <c r="K257" s="151">
        <f>IF(ISERROR(K255+K256),"–",K255+K256)</f>
        <v>4.674796747967445</v>
      </c>
      <c r="L257" s="151" t="str">
        <f>IF(ISERROR(L255+L256),"–",L255+L256)</f>
        <v>–</v>
      </c>
      <c r="M257" s="142"/>
      <c r="N257" s="151">
        <f>IF(ISERROR(N255+N256),"–",N255+N256)</f>
        <v>17.914919113241464</v>
      </c>
      <c r="O257" s="151" t="str">
        <f>IF(ISERROR(O255+O256),"–",O255+O256)</f>
        <v>–</v>
      </c>
      <c r="P257" s="151" t="str">
        <f>IF(ISERROR(P255+P256),"–",P255+P256)</f>
        <v>–</v>
      </c>
      <c r="Q257" s="151" t="str">
        <f>IF(ISERROR(Q255+Q256),"–",Q255+Q256)</f>
        <v>–</v>
      </c>
      <c r="R257" s="33"/>
      <c r="S257" s="45"/>
      <c r="T257" s="40"/>
      <c r="U257" s="4"/>
      <c r="V257" s="33"/>
      <c r="W257" s="13"/>
      <c r="X257" s="59"/>
      <c r="Y257" s="59"/>
      <c r="Z257" s="59"/>
      <c r="AA257" s="389"/>
      <c r="AB257" s="64"/>
    </row>
    <row r="258" spans="1:28" ht="13.5" customHeight="1" hidden="1">
      <c r="A258" s="1"/>
      <c r="B258" s="323"/>
      <c r="C258" s="6"/>
      <c r="D258" s="7"/>
      <c r="E258" s="35"/>
      <c r="F258" s="30"/>
      <c r="G258" s="155"/>
      <c r="H258" s="155"/>
      <c r="I258" s="155"/>
      <c r="J258" s="155"/>
      <c r="K258" s="155"/>
      <c r="L258" s="155"/>
      <c r="M258" s="154"/>
      <c r="N258" s="155"/>
      <c r="O258" s="155"/>
      <c r="P258" s="155"/>
      <c r="Q258" s="155"/>
      <c r="R258" s="29"/>
      <c r="S258" s="8"/>
      <c r="T258" s="29"/>
      <c r="U258" s="6"/>
      <c r="V258" s="29"/>
      <c r="W258" s="34"/>
      <c r="X258" s="8"/>
      <c r="Y258" s="8"/>
      <c r="Z258" s="8"/>
      <c r="AA258" s="389"/>
      <c r="AB258" s="47"/>
    </row>
    <row r="259" spans="1:28" ht="13.5" customHeight="1" hidden="1">
      <c r="A259" s="10"/>
      <c r="B259" s="323"/>
      <c r="C259" s="4" t="str">
        <f>"APACWMC – Assets under management – "&amp;D259</f>
        <v>APACWMC – Assets under management – Gross margin (bp)</v>
      </c>
      <c r="D259" s="77" t="s">
        <v>19</v>
      </c>
      <c r="E259" s="85"/>
      <c r="F259" s="29"/>
      <c r="G259" s="146">
        <f>IF(ISERROR(G235/G253*40),"–",G235/G253*40)</f>
        <v>136.85739180946848</v>
      </c>
      <c r="H259" s="146">
        <f>IF(ISERROR(H235/H253*40),"–",H235/H253*40)</f>
        <v>125.90090090090088</v>
      </c>
      <c r="I259" s="146">
        <f>IF(ISERROR(I235/I253*40),"–",I235/I253*40)</f>
        <v>119.1952147906471</v>
      </c>
      <c r="J259" s="146">
        <f>IF(ISERROR(J235/J253*40),"–",J235/J253*40)</f>
        <v>129.4725956566701</v>
      </c>
      <c r="K259" s="146">
        <f>IF(ISERROR(K235/K253*40),"–",K235/K253*40)</f>
        <v>133.9732255620106</v>
      </c>
      <c r="L259" s="146" t="str">
        <f>IF(ISERROR(L235/L253*40),"–",L235/L253*40)</f>
        <v>–</v>
      </c>
      <c r="M259" s="154"/>
      <c r="N259" s="146">
        <f>IF(ISERROR(N235/N253*10),"–",N235/N253*10)</f>
        <v>127.6876546604344</v>
      </c>
      <c r="O259" s="146" t="str">
        <f>IF(ISERROR(O235/O253*10),"–",O235/O253*10)</f>
        <v>–</v>
      </c>
      <c r="P259" s="146" t="str">
        <f>IF(ISERROR(P235/P253*10),"–",P235/P253*10)</f>
        <v>–</v>
      </c>
      <c r="Q259" s="146" t="str">
        <f>IF(ISERROR(Q235/Q253*10),"–",Q235/Q253*10)</f>
        <v>–</v>
      </c>
      <c r="R259" s="31"/>
      <c r="S259" s="204"/>
      <c r="T259" s="31"/>
      <c r="U259" s="38"/>
      <c r="V259" s="32"/>
      <c r="W259" s="13"/>
      <c r="X259" s="59"/>
      <c r="Y259" s="59"/>
      <c r="Z259" s="59"/>
      <c r="AA259" s="389"/>
      <c r="AB259" s="64"/>
    </row>
    <row r="260" spans="1:28" ht="13.5" customHeight="1" hidden="1">
      <c r="A260" s="10"/>
      <c r="B260" s="323"/>
      <c r="C260" s="4" t="str">
        <f>"APACWMC – Assets under management – "&amp;D260</f>
        <v>APACWMC – Assets under management – Net margin (bp)</v>
      </c>
      <c r="D260" s="77" t="s">
        <v>98</v>
      </c>
      <c r="E260" s="85"/>
      <c r="F260" s="29"/>
      <c r="G260" s="146">
        <f>IF(ISERROR(G240/G253*40),"–",G240/G253*40)</f>
        <v>46.703456288120826</v>
      </c>
      <c r="H260" s="146">
        <f>IF(ISERROR(H240/H253*40),"–",H240/H253*40)</f>
        <v>44.144144144144136</v>
      </c>
      <c r="I260" s="146">
        <f>IF(ISERROR(I240/I253*40),"–",I240/I253*40)</f>
        <v>37.62914627514954</v>
      </c>
      <c r="J260" s="146">
        <f>IF(ISERROR(J240/J253*40),"–",J240/J253*40)</f>
        <v>47.36297828335057</v>
      </c>
      <c r="K260" s="146">
        <f>IF(ISERROR(K240/K253*40),"–",K240/K253*40)</f>
        <v>41.42460217226572</v>
      </c>
      <c r="L260" s="146" t="str">
        <f>IF(ISERROR(L240/L253*40),"–",L240/L253*40)</f>
        <v>–</v>
      </c>
      <c r="M260" s="154"/>
      <c r="N260" s="146">
        <f>IF(ISERROR(N240/N253*10),"–",N240/N253*10)</f>
        <v>43.93731097058014</v>
      </c>
      <c r="O260" s="146" t="str">
        <f>IF(ISERROR(O240/O253*10),"–",O240/O253*10)</f>
        <v>–</v>
      </c>
      <c r="P260" s="146" t="str">
        <f>IF(ISERROR(P240/P253*10),"–",P240/P253*10)</f>
        <v>–</v>
      </c>
      <c r="Q260" s="146" t="str">
        <f>IF(ISERROR(Q240/Q253*10),"–",Q240/Q253*10)</f>
        <v>–</v>
      </c>
      <c r="R260" s="31"/>
      <c r="S260" s="204"/>
      <c r="T260" s="31"/>
      <c r="U260" s="38"/>
      <c r="V260" s="32"/>
      <c r="W260" s="13"/>
      <c r="X260" s="59"/>
      <c r="Y260" s="59"/>
      <c r="Z260" s="59"/>
      <c r="AA260" s="389"/>
      <c r="AB260" s="64"/>
    </row>
    <row r="261" spans="1:28" ht="13.5" customHeight="1">
      <c r="A261" s="1"/>
      <c r="B261" s="329"/>
      <c r="C261" s="443"/>
      <c r="D261" s="444"/>
      <c r="E261" s="444"/>
      <c r="F261" s="445"/>
      <c r="G261" s="446"/>
      <c r="H261" s="446"/>
      <c r="I261" s="446"/>
      <c r="J261" s="446"/>
      <c r="K261" s="446"/>
      <c r="L261" s="446"/>
      <c r="M261" s="446"/>
      <c r="N261" s="446"/>
      <c r="O261" s="446"/>
      <c r="P261" s="446"/>
      <c r="Q261" s="446"/>
      <c r="R261" s="445"/>
      <c r="S261" s="445"/>
      <c r="T261" s="447"/>
      <c r="U261" s="449"/>
      <c r="V261" s="450"/>
      <c r="W261" s="450"/>
      <c r="X261" s="450"/>
      <c r="Y261" s="450"/>
      <c r="Z261" s="450"/>
      <c r="AA261" s="323"/>
      <c r="AB261" s="47"/>
    </row>
    <row r="262" spans="1:28" ht="27" customHeight="1">
      <c r="A262" s="1"/>
      <c r="B262" s="329"/>
      <c r="C262" s="467"/>
      <c r="D262" s="440" t="s">
        <v>266</v>
      </c>
      <c r="E262" s="440"/>
      <c r="F262" s="393"/>
      <c r="G262" s="441"/>
      <c r="H262" s="441"/>
      <c r="I262" s="441"/>
      <c r="J262" s="441"/>
      <c r="K262" s="441"/>
      <c r="L262" s="441"/>
      <c r="M262" s="441"/>
      <c r="N262" s="441"/>
      <c r="O262" s="441"/>
      <c r="P262" s="441"/>
      <c r="Q262" s="441"/>
      <c r="R262" s="393"/>
      <c r="S262" s="393"/>
      <c r="T262" s="393"/>
      <c r="U262" s="442"/>
      <c r="V262" s="374"/>
      <c r="W262" s="374"/>
      <c r="X262" s="374"/>
      <c r="Y262" s="374"/>
      <c r="Z262" s="374"/>
      <c r="AA262" s="323"/>
      <c r="AB262" s="47"/>
    </row>
    <row r="263" spans="1:28" ht="13.5" customHeight="1">
      <c r="A263" s="1"/>
      <c r="B263" s="322"/>
      <c r="C263" s="2"/>
      <c r="D263" s="2"/>
      <c r="E263" s="2"/>
      <c r="F263" s="2"/>
      <c r="G263" s="102"/>
      <c r="H263" s="102"/>
      <c r="I263" s="102"/>
      <c r="J263" s="102"/>
      <c r="K263" s="102"/>
      <c r="L263" s="136"/>
      <c r="M263" s="136"/>
      <c r="N263" s="137"/>
      <c r="O263" s="136"/>
      <c r="P263" s="136"/>
      <c r="Q263" s="136"/>
      <c r="R263" s="2"/>
      <c r="S263" s="2"/>
      <c r="T263" s="2"/>
      <c r="U263" s="2"/>
      <c r="V263" s="2"/>
      <c r="W263" s="2"/>
      <c r="X263" s="2"/>
      <c r="Y263" s="2"/>
      <c r="Z263" s="2"/>
      <c r="AA263" s="322"/>
      <c r="AB263" s="47"/>
    </row>
    <row r="264" spans="1:28" ht="13.5" customHeight="1">
      <c r="A264" s="1"/>
      <c r="B264" s="323"/>
      <c r="C264" s="3"/>
      <c r="D264" s="3" t="s">
        <v>0</v>
      </c>
      <c r="E264" s="3"/>
      <c r="F264" s="26"/>
      <c r="G264" s="103"/>
      <c r="H264" s="103"/>
      <c r="I264" s="103"/>
      <c r="J264" s="103"/>
      <c r="K264" s="103"/>
      <c r="L264" s="138"/>
      <c r="M264" s="139"/>
      <c r="N264" s="140"/>
      <c r="O264" s="138"/>
      <c r="P264" s="138"/>
      <c r="Q264" s="138"/>
      <c r="R264" s="26"/>
      <c r="S264" s="3"/>
      <c r="T264" s="26"/>
      <c r="U264" s="3"/>
      <c r="V264" s="26"/>
      <c r="W264" s="3"/>
      <c r="X264" s="3"/>
      <c r="Y264" s="3"/>
      <c r="Z264" s="3"/>
      <c r="AA264" s="322"/>
      <c r="AB264" s="47"/>
    </row>
    <row r="265" spans="1:28" ht="13.5" customHeight="1">
      <c r="A265" s="1"/>
      <c r="B265" s="323"/>
      <c r="C265" s="4" t="str">
        <f aca="true" t="shared" si="54" ref="C265:C272">"APACM – Income statement – "&amp;D265</f>
        <v>APACM – Income statement – Fixed income sales and trading</v>
      </c>
      <c r="D265" s="76" t="s">
        <v>138</v>
      </c>
      <c r="E265" s="90"/>
      <c r="F265" s="33"/>
      <c r="G265" s="170">
        <v>58</v>
      </c>
      <c r="H265" s="170">
        <v>101</v>
      </c>
      <c r="I265" s="170">
        <v>80</v>
      </c>
      <c r="J265" s="170">
        <v>23</v>
      </c>
      <c r="K265" s="170">
        <v>85</v>
      </c>
      <c r="L265" s="141">
        <f>IF(L$27="No","–",IF(INDEX(CS_CONS_LINK_ARRAY,MATCH($C265,CS_CONS_LINK_COLUMN,0),MATCH(L$1,CS_CONS_LINK_ROW,0))="","",INDEX(CS_CONS_LINK_ARRAY,MATCH($C265,CS_CONS_LINK_COLUMN,0),MATCH(L$1,CS_CONS_LINK_ROW,0))))</f>
      </c>
      <c r="M265" s="142"/>
      <c r="N265" s="170">
        <v>262</v>
      </c>
      <c r="O265" s="141">
        <f aca="true" t="shared" si="55" ref="O265:Q266">IF(O$27="No","–",IF(INDEX(CS_CONS_LINK_ARRAY,MATCH($C265,CS_CONS_LINK_COLUMN,0),MATCH(O$1,CS_CONS_LINK_ROW,0))="","",INDEX(CS_CONS_LINK_ARRAY,MATCH($C265,CS_CONS_LINK_COLUMN,0),MATCH(O$1,CS_CONS_LINK_ROW,0))))</f>
      </c>
      <c r="P265" s="141">
        <f t="shared" si="55"/>
      </c>
      <c r="Q265" s="141">
        <f t="shared" si="55"/>
      </c>
      <c r="R265" s="33"/>
      <c r="S265" s="45"/>
      <c r="T265" s="33"/>
      <c r="U265" s="38" t="s">
        <v>26</v>
      </c>
      <c r="V265" s="33"/>
      <c r="W265" s="37">
        <f>IF(L265="–",0,IF($U265="Positive Number",IF(OR(L265&lt;0,ISTEXT(L265),ISERROR(L265)),1,0),IF(OR(ISTEXT(L265),ISERROR(L265)),1,0)))</f>
        <v>1</v>
      </c>
      <c r="X265" s="57">
        <f aca="true" t="shared" si="56" ref="X265:Z266">IF(O265="–",0,IF($U265="Positive Number",IF(OR(O265&lt;0,ISTEXT(O265),ISERROR(O265)),1,0),IF(OR(ISTEXT(O265),ISERROR(O265)),1,0)))</f>
        <v>1</v>
      </c>
      <c r="Y265" s="57">
        <f t="shared" si="56"/>
        <v>1</v>
      </c>
      <c r="Z265" s="57">
        <f t="shared" si="56"/>
        <v>1</v>
      </c>
      <c r="AA265" s="322"/>
      <c r="AB265" s="47"/>
    </row>
    <row r="266" spans="1:28" ht="13.5" customHeight="1">
      <c r="A266" s="1"/>
      <c r="B266" s="323"/>
      <c r="C266" s="4" t="str">
        <f t="shared" si="54"/>
        <v>APACM – Income statement – Equity sales and trading</v>
      </c>
      <c r="D266" s="76" t="s">
        <v>139</v>
      </c>
      <c r="E266" s="90"/>
      <c r="F266" s="33"/>
      <c r="G266" s="170">
        <v>234</v>
      </c>
      <c r="H266" s="170">
        <v>188</v>
      </c>
      <c r="I266" s="170">
        <v>262</v>
      </c>
      <c r="J266" s="170">
        <v>236</v>
      </c>
      <c r="K266" s="170">
        <v>243</v>
      </c>
      <c r="L266" s="141">
        <f>IF(L$27="No","–",IF(INDEX(CS_CONS_LINK_ARRAY,MATCH($C266,CS_CONS_LINK_COLUMN,0),MATCH(L$1,CS_CONS_LINK_ROW,0))="","",INDEX(CS_CONS_LINK_ARRAY,MATCH($C266,CS_CONS_LINK_COLUMN,0),MATCH(L$1,CS_CONS_LINK_ROW,0))))</f>
      </c>
      <c r="M266" s="142"/>
      <c r="N266" s="170">
        <v>920</v>
      </c>
      <c r="O266" s="141">
        <f t="shared" si="55"/>
      </c>
      <c r="P266" s="141">
        <f t="shared" si="55"/>
      </c>
      <c r="Q266" s="141">
        <f t="shared" si="55"/>
      </c>
      <c r="R266" s="33"/>
      <c r="S266" s="45"/>
      <c r="T266" s="33"/>
      <c r="U266" s="38" t="s">
        <v>26</v>
      </c>
      <c r="V266" s="33"/>
      <c r="W266" s="37">
        <f>IF(L266="–",0,IF($U266="Positive Number",IF(OR(L266&lt;0,ISTEXT(L266),ISERROR(L266)),1,0),IF(OR(ISTEXT(L266),ISERROR(L266)),1,0)))</f>
        <v>1</v>
      </c>
      <c r="X266" s="57">
        <f t="shared" si="56"/>
        <v>1</v>
      </c>
      <c r="Y266" s="57">
        <f t="shared" si="56"/>
        <v>1</v>
      </c>
      <c r="Z266" s="57">
        <f t="shared" si="56"/>
        <v>1</v>
      </c>
      <c r="AA266" s="322"/>
      <c r="AB266" s="47"/>
    </row>
    <row r="267" spans="1:28" ht="13.5" customHeight="1">
      <c r="A267" s="1"/>
      <c r="B267" s="323"/>
      <c r="C267" s="4" t="str">
        <f t="shared" si="54"/>
        <v>APACM – Income statement – Net revenues</v>
      </c>
      <c r="D267" s="75" t="s">
        <v>1</v>
      </c>
      <c r="E267" s="83"/>
      <c r="F267" s="33"/>
      <c r="G267" s="145">
        <f>IF(ISERROR(G265+G266),"–",G265+G266)</f>
        <v>292</v>
      </c>
      <c r="H267" s="145">
        <f>IF(ISERROR(H265+H266),"–",H265+H266)</f>
        <v>289</v>
      </c>
      <c r="I267" s="145">
        <f>IF(ISERROR(I265+I266),"–",I265+I266)</f>
        <v>342</v>
      </c>
      <c r="J267" s="145">
        <f>IF(ISERROR(J265+J266),"–",J265+J266)</f>
        <v>259</v>
      </c>
      <c r="K267" s="145">
        <f>IF(ISERROR(K265+K266),"–",K265+K266)</f>
        <v>328</v>
      </c>
      <c r="L267" s="145" t="str">
        <f>IF(ISERROR(L265+L266),"–",L265+L266)</f>
        <v>–</v>
      </c>
      <c r="M267" s="142"/>
      <c r="N267" s="145">
        <f>IF(ISERROR(N265+N266),"–",N265+N266)</f>
        <v>1182</v>
      </c>
      <c r="O267" s="145" t="str">
        <f>IF(ISERROR(O265+O266),"–",O265+O266)</f>
        <v>–</v>
      </c>
      <c r="P267" s="145" t="str">
        <f>IF(ISERROR(P265+P266),"–",P265+P266)</f>
        <v>–</v>
      </c>
      <c r="Q267" s="145" t="str">
        <f>IF(ISERROR(Q265+Q266),"–",Q265+Q266)</f>
        <v>–</v>
      </c>
      <c r="R267" s="33"/>
      <c r="S267" s="45"/>
      <c r="T267" s="33"/>
      <c r="U267" s="4"/>
      <c r="V267" s="33"/>
      <c r="W267" s="5"/>
      <c r="X267" s="54"/>
      <c r="Y267" s="54"/>
      <c r="Z267" s="54"/>
      <c r="AA267" s="322"/>
      <c r="AB267" s="47"/>
    </row>
    <row r="268" spans="1:28" ht="13.5" customHeight="1">
      <c r="A268" s="10"/>
      <c r="B268" s="324"/>
      <c r="C268" s="4" t="str">
        <f t="shared" si="54"/>
        <v>APACM – Income statement – Provision for credit losses</v>
      </c>
      <c r="D268" s="75" t="s">
        <v>5</v>
      </c>
      <c r="E268" s="83"/>
      <c r="F268" s="33"/>
      <c r="G268" s="275">
        <v>0</v>
      </c>
      <c r="H268" s="275">
        <v>0</v>
      </c>
      <c r="I268" s="275">
        <v>0</v>
      </c>
      <c r="J268" s="275">
        <v>0</v>
      </c>
      <c r="K268" s="275">
        <v>1</v>
      </c>
      <c r="L268" s="147">
        <f>IF(L$27="No","–",IF(INDEX(CS_CONS_LINK_ARRAY,MATCH($C268,CS_CONS_LINK_COLUMN,0),MATCH(L$1,CS_CONS_LINK_ROW,0))="","",INDEX(CS_CONS_LINK_ARRAY,MATCH($C268,CS_CONS_LINK_COLUMN,0),MATCH(L$1,CS_CONS_LINK_ROW,0))))</f>
      </c>
      <c r="M268" s="142"/>
      <c r="N268" s="275">
        <v>0</v>
      </c>
      <c r="O268" s="147">
        <f aca="true" t="shared" si="57" ref="O268:Q270">IF(O$27="No","–",IF(INDEX(CS_CONS_LINK_ARRAY,MATCH($C268,CS_CONS_LINK_COLUMN,0),MATCH(O$1,CS_CONS_LINK_ROW,0))="","",INDEX(CS_CONS_LINK_ARRAY,MATCH($C268,CS_CONS_LINK_COLUMN,0),MATCH(O$1,CS_CONS_LINK_ROW,0))))</f>
      </c>
      <c r="P268" s="147">
        <f t="shared" si="57"/>
      </c>
      <c r="Q268" s="147">
        <f t="shared" si="57"/>
      </c>
      <c r="R268" s="33"/>
      <c r="S268" s="45"/>
      <c r="T268" s="33"/>
      <c r="U268" s="38" t="s">
        <v>26</v>
      </c>
      <c r="V268" s="33"/>
      <c r="W268" s="37">
        <f>IF(L268="–",0,IF($U268="Positive Number",IF(OR(L268&lt;0,ISTEXT(L268),ISERROR(L268)),1,0),IF(OR(ISTEXT(L268),ISERROR(L268)),1,0)))</f>
        <v>1</v>
      </c>
      <c r="X268" s="57">
        <f aca="true" t="shared" si="58" ref="X268:Z270">IF(O268="–",0,IF($U268="Positive Number",IF(OR(O268&lt;0,ISTEXT(O268),ISERROR(O268)),1,0),IF(OR(ISTEXT(O268),ISERROR(O268)),1,0)))</f>
        <v>1</v>
      </c>
      <c r="Y268" s="57">
        <f t="shared" si="58"/>
        <v>1</v>
      </c>
      <c r="Z268" s="57">
        <f t="shared" si="58"/>
        <v>1</v>
      </c>
      <c r="AA268" s="389"/>
      <c r="AB268" s="47"/>
    </row>
    <row r="269" spans="1:28" ht="13.5" customHeight="1">
      <c r="A269" s="1"/>
      <c r="B269" s="323"/>
      <c r="C269" s="4" t="str">
        <f t="shared" si="54"/>
        <v>APACM – Income statement – Compensation and benefits</v>
      </c>
      <c r="D269" s="76" t="s">
        <v>6</v>
      </c>
      <c r="E269" s="84"/>
      <c r="F269" s="33"/>
      <c r="G269" s="273">
        <v>157</v>
      </c>
      <c r="H269" s="273">
        <v>143</v>
      </c>
      <c r="I269" s="273">
        <v>147</v>
      </c>
      <c r="J269" s="273">
        <v>153</v>
      </c>
      <c r="K269" s="273">
        <v>141</v>
      </c>
      <c r="L269" s="141">
        <f>IF(L$27="No","–",IF(INDEX(CS_CONS_LINK_ARRAY,MATCH($C269,CS_CONS_LINK_COLUMN,0),MATCH(L$1,CS_CONS_LINK_ROW,0))="","",INDEX(CS_CONS_LINK_ARRAY,MATCH($C269,CS_CONS_LINK_COLUMN,0),MATCH(L$1,CS_CONS_LINK_ROW,0))))</f>
      </c>
      <c r="M269" s="142"/>
      <c r="N269" s="143">
        <v>600</v>
      </c>
      <c r="O269" s="141">
        <f t="shared" si="57"/>
      </c>
      <c r="P269" s="141">
        <f t="shared" si="57"/>
      </c>
      <c r="Q269" s="141">
        <f t="shared" si="57"/>
      </c>
      <c r="R269" s="33"/>
      <c r="S269" s="45"/>
      <c r="T269" s="33"/>
      <c r="U269" s="38" t="s">
        <v>25</v>
      </c>
      <c r="V269" s="33"/>
      <c r="W269" s="37">
        <f>IF(L269="–",0,IF($U269="Positive Number",IF(OR(L269&lt;0,ISTEXT(L269),ISERROR(L269)),1,0),IF(OR(ISTEXT(L269),ISERROR(L269)),1,0)))</f>
        <v>1</v>
      </c>
      <c r="X269" s="57">
        <f t="shared" si="58"/>
        <v>1</v>
      </c>
      <c r="Y269" s="57">
        <f t="shared" si="58"/>
        <v>1</v>
      </c>
      <c r="Z269" s="57">
        <f t="shared" si="58"/>
        <v>1</v>
      </c>
      <c r="AA269" s="322"/>
      <c r="AB269" s="47"/>
    </row>
    <row r="270" spans="1:28" ht="13.5" customHeight="1">
      <c r="A270" s="1"/>
      <c r="B270" s="323"/>
      <c r="C270" s="4" t="str">
        <f t="shared" si="54"/>
        <v>APACM – Income statement – Total other operating expenses</v>
      </c>
      <c r="D270" s="76" t="s">
        <v>137</v>
      </c>
      <c r="E270" s="84"/>
      <c r="F270" s="33"/>
      <c r="G270" s="273">
        <v>189</v>
      </c>
      <c r="H270" s="273">
        <v>154</v>
      </c>
      <c r="I270" s="273">
        <v>150</v>
      </c>
      <c r="J270" s="273">
        <v>159</v>
      </c>
      <c r="K270" s="273">
        <v>157</v>
      </c>
      <c r="L270" s="141">
        <f>IF(L$27="No","–",IF(INDEX(CS_CONS_LINK_ARRAY,MATCH($C270,CS_CONS_LINK_COLUMN,0),MATCH(L$1,CS_CONS_LINK_ROW,0))="","",INDEX(CS_CONS_LINK_ARRAY,MATCH($C270,CS_CONS_LINK_COLUMN,0),MATCH(L$1,CS_CONS_LINK_ROW,0))))</f>
      </c>
      <c r="M270" s="142"/>
      <c r="N270" s="143">
        <v>652</v>
      </c>
      <c r="O270" s="141">
        <f t="shared" si="57"/>
      </c>
      <c r="P270" s="141">
        <f t="shared" si="57"/>
      </c>
      <c r="Q270" s="141">
        <f t="shared" si="57"/>
      </c>
      <c r="R270" s="33"/>
      <c r="S270" s="45"/>
      <c r="T270" s="33"/>
      <c r="U270" s="38" t="s">
        <v>25</v>
      </c>
      <c r="V270" s="33"/>
      <c r="W270" s="37">
        <f>IF(L270="–",0,IF($U270="Positive Number",IF(OR(L270&lt;0,ISTEXT(L270),ISERROR(L270)),1,0),IF(OR(ISTEXT(L270),ISERROR(L270)),1,0)))</f>
        <v>1</v>
      </c>
      <c r="X270" s="57">
        <f t="shared" si="58"/>
        <v>1</v>
      </c>
      <c r="Y270" s="57">
        <f t="shared" si="58"/>
        <v>1</v>
      </c>
      <c r="Z270" s="57">
        <f t="shared" si="58"/>
        <v>1</v>
      </c>
      <c r="AA270" s="322"/>
      <c r="AB270" s="47"/>
    </row>
    <row r="271" spans="1:28" ht="13.5" customHeight="1">
      <c r="A271" s="1"/>
      <c r="B271" s="323"/>
      <c r="C271" s="4" t="str">
        <f t="shared" si="54"/>
        <v>APACM – Income statement – Total operating expenses</v>
      </c>
      <c r="D271" s="75" t="s">
        <v>7</v>
      </c>
      <c r="E271" s="83"/>
      <c r="F271" s="33"/>
      <c r="G271" s="145">
        <f>IF(ISERROR(G269+G270),"–",G269+G270)</f>
        <v>346</v>
      </c>
      <c r="H271" s="145">
        <f>IF(ISERROR(H269+H270),"–",H269+H270)</f>
        <v>297</v>
      </c>
      <c r="I271" s="145">
        <f>IF(ISERROR(I269+I270),"–",I269+I270)</f>
        <v>297</v>
      </c>
      <c r="J271" s="145">
        <f>IF(ISERROR(J269+J270),"–",J269+J270)</f>
        <v>312</v>
      </c>
      <c r="K271" s="145">
        <f>IF(ISERROR(K269+K270),"–",K269+K270)</f>
        <v>298</v>
      </c>
      <c r="L271" s="145" t="str">
        <f>IF(ISERROR(L269+L270),"–",L269+L270)</f>
        <v>–</v>
      </c>
      <c r="M271" s="142"/>
      <c r="N271" s="145">
        <f>IF(ISERROR(N269+N270),"–",N269+N270)</f>
        <v>1252</v>
      </c>
      <c r="O271" s="145" t="str">
        <f>IF(ISERROR(O269+O270),"–",O269+O270)</f>
        <v>–</v>
      </c>
      <c r="P271" s="145" t="str">
        <f>IF(ISERROR(P269+P270),"–",P269+P270)</f>
        <v>–</v>
      </c>
      <c r="Q271" s="145" t="str">
        <f>IF(ISERROR(Q269+Q270),"–",Q269+Q270)</f>
        <v>–</v>
      </c>
      <c r="R271" s="33"/>
      <c r="S271" s="45"/>
      <c r="T271" s="33"/>
      <c r="U271" s="4"/>
      <c r="V271" s="33"/>
      <c r="W271" s="5"/>
      <c r="X271" s="54"/>
      <c r="Y271" s="54"/>
      <c r="Z271" s="54"/>
      <c r="AA271" s="322"/>
      <c r="AB271" s="47"/>
    </row>
    <row r="272" spans="1:28" ht="13.5" customHeight="1">
      <c r="A272" s="1"/>
      <c r="B272" s="323"/>
      <c r="C272" s="4" t="str">
        <f t="shared" si="54"/>
        <v>APACM – Income statement – Income from continuing operations before taxes</v>
      </c>
      <c r="D272" s="75" t="s">
        <v>8</v>
      </c>
      <c r="E272" s="83"/>
      <c r="F272" s="33"/>
      <c r="G272" s="146">
        <f>IF(ISERROR(G267-G268-G271),"–",G267-G268-G271)</f>
        <v>-54</v>
      </c>
      <c r="H272" s="146">
        <f>IF(ISERROR(H267-H268-H271),"–",H267-H268-H271)</f>
        <v>-8</v>
      </c>
      <c r="I272" s="146">
        <f>IF(ISERROR(I267-I268-I271),"–",I267-I268-I271)</f>
        <v>45</v>
      </c>
      <c r="J272" s="146">
        <f>IF(ISERROR(J267-J268-J271),"–",J267-J268-J271)</f>
        <v>-53</v>
      </c>
      <c r="K272" s="146">
        <f>IF(ISERROR(K267-K268-K271),"–",K267-K268-K271)</f>
        <v>29</v>
      </c>
      <c r="L272" s="146" t="str">
        <f>IF(ISERROR(L267-L268-L271),"–",L267-L268-L271)</f>
        <v>–</v>
      </c>
      <c r="M272" s="142"/>
      <c r="N272" s="146">
        <f>IF(ISERROR(N267-N268-N271),"–",N267-N268-N271)</f>
        <v>-70</v>
      </c>
      <c r="O272" s="146" t="str">
        <f>IF(ISERROR(O267-O268-O271),"–",O267-O268-O271)</f>
        <v>–</v>
      </c>
      <c r="P272" s="146" t="str">
        <f>IF(ISERROR(P267-P268-P271),"–",P267-P268-P271)</f>
        <v>–</v>
      </c>
      <c r="Q272" s="146" t="str">
        <f>IF(ISERROR(Q267-Q268-Q271),"–",Q267-Q268-Q271)</f>
        <v>–</v>
      </c>
      <c r="R272" s="33"/>
      <c r="S272" s="45"/>
      <c r="T272" s="33"/>
      <c r="U272" s="4"/>
      <c r="V272" s="33"/>
      <c r="W272" s="5"/>
      <c r="X272" s="54"/>
      <c r="Y272" s="54"/>
      <c r="Z272" s="54"/>
      <c r="AA272" s="322"/>
      <c r="AB272" s="47"/>
    </row>
    <row r="273" spans="1:28" ht="13.5" customHeight="1">
      <c r="A273" s="1"/>
      <c r="B273" s="323"/>
      <c r="C273" s="6"/>
      <c r="D273" s="7"/>
      <c r="E273" s="7"/>
      <c r="F273" s="33"/>
      <c r="G273" s="149"/>
      <c r="H273" s="149"/>
      <c r="I273" s="149"/>
      <c r="J273" s="149"/>
      <c r="K273" s="149"/>
      <c r="L273" s="149"/>
      <c r="M273" s="142"/>
      <c r="N273" s="149"/>
      <c r="O273" s="149"/>
      <c r="P273" s="149"/>
      <c r="Q273" s="149"/>
      <c r="R273" s="33"/>
      <c r="S273" s="8"/>
      <c r="T273" s="33"/>
      <c r="U273" s="6"/>
      <c r="V273" s="33"/>
      <c r="W273" s="8"/>
      <c r="X273" s="8"/>
      <c r="Y273" s="8"/>
      <c r="Z273" s="8"/>
      <c r="AA273" s="322"/>
      <c r="AB273" s="47"/>
    </row>
    <row r="274" spans="1:28" ht="13.5" customHeight="1" hidden="1">
      <c r="A274" s="1"/>
      <c r="B274" s="323"/>
      <c r="C274" s="4" t="str">
        <f>"APACM – Income statement – "&amp;D274</f>
        <v>APACM – Income statement – Compensation ratio (%)</v>
      </c>
      <c r="D274" s="82" t="s">
        <v>9</v>
      </c>
      <c r="E274" s="91"/>
      <c r="F274" s="33"/>
      <c r="G274" s="151">
        <f>IF(ISERROR(G269/G267),"–",IF(ABS(G269/G267*100)&gt;NM,"–",G269/G267*100))</f>
        <v>53.76712328767124</v>
      </c>
      <c r="H274" s="151">
        <f>IF(ISERROR(H269/H267),"–",IF(ABS(H269/H267*100)&gt;NM,"–",H269/H267*100))</f>
        <v>49.48096885813148</v>
      </c>
      <c r="I274" s="151">
        <f>IF(ISERROR(I269/I267),"–",IF(ABS(I269/I267*100)&gt;NM,"–",I269/I267*100))</f>
        <v>42.98245614035088</v>
      </c>
      <c r="J274" s="151">
        <f>IF(ISERROR(J269/J267),"–",IF(ABS(J269/J267*100)&gt;NM,"–",J269/J267*100))</f>
        <v>59.07335907335908</v>
      </c>
      <c r="K274" s="151">
        <f>IF(ISERROR(K269/K267),"–",IF(ABS(K269/K267*100)&gt;NM,"–",K269/K267*100))</f>
        <v>42.98780487804878</v>
      </c>
      <c r="L274" s="151" t="str">
        <f>IF(ISERROR(L269/L267),"–",IF(ABS(L269/L267*100)&gt;NM,"–",L269/L267*100))</f>
        <v>–</v>
      </c>
      <c r="M274" s="142"/>
      <c r="N274" s="151">
        <f>IF(ISERROR(N269/N267),"–",IF(ABS(N269/N267*100)&gt;NM,"–",N269/N267*100))</f>
        <v>50.76142131979695</v>
      </c>
      <c r="O274" s="151" t="str">
        <f>IF(ISERROR(O269/O267),"–",IF(ABS(O269/O267*100)&gt;NM,"–",O269/O267*100))</f>
        <v>–</v>
      </c>
      <c r="P274" s="151" t="str">
        <f>IF(ISERROR(P269/P267),"–",IF(ABS(P269/P267*100)&gt;NM,"–",P269/P267*100))</f>
        <v>–</v>
      </c>
      <c r="Q274" s="151" t="str">
        <f>IF(ISERROR(Q269/Q267),"–",IF(ABS(Q269/Q267*100)&gt;NM,"–",Q269/Q267*100))</f>
        <v>–</v>
      </c>
      <c r="R274" s="33"/>
      <c r="S274" s="45"/>
      <c r="T274" s="33"/>
      <c r="U274" s="4"/>
      <c r="V274" s="33"/>
      <c r="W274" s="12"/>
      <c r="X274" s="58"/>
      <c r="Y274" s="58"/>
      <c r="Z274" s="58"/>
      <c r="AA274" s="322"/>
      <c r="AB274" s="47"/>
    </row>
    <row r="275" spans="1:28" ht="13.5" customHeight="1" hidden="1">
      <c r="A275" s="1"/>
      <c r="B275" s="323"/>
      <c r="C275" s="4" t="str">
        <f>"APACM – Income statement – "&amp;D275</f>
        <v>APACM – Income statement – Non-compensation ratio (%)</v>
      </c>
      <c r="D275" s="82" t="s">
        <v>10</v>
      </c>
      <c r="E275" s="91"/>
      <c r="F275" s="33"/>
      <c r="G275" s="151">
        <f>IF(ISERROR(G270/G267),"–",IF(ABS(G270/G267*100)&gt;NM,"–",G270/G267*100))</f>
        <v>64.72602739726028</v>
      </c>
      <c r="H275" s="151">
        <f>IF(ISERROR(H270/H267),"–",IF(ABS(H270/H267*100)&gt;NM,"–",H270/H267*100))</f>
        <v>53.28719723183391</v>
      </c>
      <c r="I275" s="151">
        <f>IF(ISERROR(I270/I267),"–",IF(ABS(I270/I267*100)&gt;NM,"–",I270/I267*100))</f>
        <v>43.859649122807014</v>
      </c>
      <c r="J275" s="151">
        <f>IF(ISERROR(J270/J267),"–",IF(ABS(J270/J267*100)&gt;NM,"–",J270/J267*100))</f>
        <v>61.38996138996139</v>
      </c>
      <c r="K275" s="151">
        <f>IF(ISERROR(K270/K267),"–",IF(ABS(K270/K267*100)&gt;NM,"–",K270/K267*100))</f>
        <v>47.86585365853659</v>
      </c>
      <c r="L275" s="151" t="str">
        <f>IF(ISERROR(L270/L267),"–",IF(ABS(L270/L267*100)&gt;NM,"–",L270/L267*100))</f>
        <v>–</v>
      </c>
      <c r="M275" s="142"/>
      <c r="N275" s="151">
        <f>IF(ISERROR(N270/N267),"–",IF(ABS(N270/N267*100)&gt;NM,"–",N270/N267*100))</f>
        <v>55.16074450084603</v>
      </c>
      <c r="O275" s="151" t="str">
        <f>IF(ISERROR(O270/O267),"–",IF(ABS(O270/O267*100)&gt;NM,"–",O270/O267*100))</f>
        <v>–</v>
      </c>
      <c r="P275" s="151" t="str">
        <f>IF(ISERROR(P270/P267),"–",IF(ABS(P270/P267*100)&gt;NM,"–",P270/P267*100))</f>
        <v>–</v>
      </c>
      <c r="Q275" s="151" t="str">
        <f>IF(ISERROR(Q270/Q267),"–",IF(ABS(Q270/Q267*100)&gt;NM,"–",Q270/Q267*100))</f>
        <v>–</v>
      </c>
      <c r="R275" s="33"/>
      <c r="S275" s="45"/>
      <c r="T275" s="33"/>
      <c r="U275" s="4"/>
      <c r="V275" s="33"/>
      <c r="W275" s="12"/>
      <c r="X275" s="58"/>
      <c r="Y275" s="58"/>
      <c r="Z275" s="58"/>
      <c r="AA275" s="322"/>
      <c r="AB275" s="47"/>
    </row>
    <row r="276" spans="1:28" ht="13.5" customHeight="1">
      <c r="A276" s="1"/>
      <c r="B276" s="323"/>
      <c r="C276" s="4" t="str">
        <f>"APACM – Income statement – "&amp;D276</f>
        <v>APACM – Income statement – Cost / income ratio (%)</v>
      </c>
      <c r="D276" s="77" t="s">
        <v>11</v>
      </c>
      <c r="E276" s="85"/>
      <c r="F276" s="33"/>
      <c r="G276" s="151">
        <f>IF(ISERROR(G271/G267),"–",IF(ABS(G271/G267*100)&gt;NM,"–",G271/G267*100))</f>
        <v>118.49315068493152</v>
      </c>
      <c r="H276" s="151">
        <f>IF(ISERROR(H271/H267),"–",IF(ABS(H271/H267*100)&gt;NM,"–",H271/H267*100))</f>
        <v>102.76816608996539</v>
      </c>
      <c r="I276" s="151">
        <f>IF(ISERROR(I271/I267),"–",IF(ABS(I271/I267*100)&gt;NM,"–",I271/I267*100))</f>
        <v>86.8421052631579</v>
      </c>
      <c r="J276" s="151">
        <f>IF(ISERROR(J271/J267),"–",IF(ABS(J271/J267*100)&gt;NM,"–",J271/J267*100))</f>
        <v>120.46332046332047</v>
      </c>
      <c r="K276" s="151">
        <f>IF(ISERROR(K271/K267),"–",IF(ABS(K271/K267*100)&gt;NM,"–",K271/K267*100))</f>
        <v>90.85365853658537</v>
      </c>
      <c r="L276" s="151" t="str">
        <f>IF(ISERROR(L271/L267),"–",IF(ABS(L271/L267*100)&gt;NM,"–",L271/L267*100))</f>
        <v>–</v>
      </c>
      <c r="M276" s="142"/>
      <c r="N276" s="151">
        <f>IF(ISERROR(N271/N267),"–",IF(ABS(N271/N267*100)&gt;NM,"–",N271/N267*100))</f>
        <v>105.92216582064297</v>
      </c>
      <c r="O276" s="151" t="str">
        <f>IF(ISERROR(O271/O267),"–",IF(ABS(O271/O267*100)&gt;NM,"–",O271/O267*100))</f>
        <v>–</v>
      </c>
      <c r="P276" s="151" t="str">
        <f>IF(ISERROR(P271/P267),"–",IF(ABS(P271/P267*100)&gt;NM,"–",P271/P267*100))</f>
        <v>–</v>
      </c>
      <c r="Q276" s="151" t="str">
        <f>IF(ISERROR(Q271/Q267),"–",IF(ABS(Q271/Q267*100)&gt;NM,"–",Q271/Q267*100))</f>
        <v>–</v>
      </c>
      <c r="R276" s="33"/>
      <c r="S276" s="45"/>
      <c r="T276" s="33"/>
      <c r="U276" s="4"/>
      <c r="V276" s="33"/>
      <c r="W276" s="13"/>
      <c r="X276" s="59"/>
      <c r="Y276" s="59"/>
      <c r="Z276" s="59"/>
      <c r="AA276" s="322"/>
      <c r="AB276" s="47"/>
    </row>
    <row r="277" spans="1:28" ht="13.5" customHeight="1">
      <c r="A277" s="1"/>
      <c r="B277" s="323"/>
      <c r="C277" s="4" t="str">
        <f>"APACM – Income statement – "&amp;D277</f>
        <v>APACM – Income statement – Pre-tax income margin (%)</v>
      </c>
      <c r="D277" s="77" t="s">
        <v>12</v>
      </c>
      <c r="E277" s="85"/>
      <c r="F277" s="40"/>
      <c r="G277" s="151">
        <f>IF(ISERROR(G272/G267),"–",IF(ABS(G272/G267*100)&gt;NM,"–",G272/G267*100))</f>
        <v>-18.493150684931507</v>
      </c>
      <c r="H277" s="151">
        <f>IF(ISERROR(H272/H267),"–",IF(ABS(H272/H267*100)&gt;NM,"–",H272/H267*100))</f>
        <v>-2.768166089965398</v>
      </c>
      <c r="I277" s="151">
        <f>IF(ISERROR(I272/I267),"–",IF(ABS(I272/I267*100)&gt;NM,"–",I272/I267*100))</f>
        <v>13.157894736842104</v>
      </c>
      <c r="J277" s="151">
        <f>IF(ISERROR(J272/J267),"–",IF(ABS(J272/J267*100)&gt;NM,"–",J272/J267*100))</f>
        <v>-20.463320463320464</v>
      </c>
      <c r="K277" s="151">
        <f>IF(ISERROR(K272/K267),"–",IF(ABS(K272/K267*100)&gt;NM,"–",K272/K267*100))</f>
        <v>8.841463414634147</v>
      </c>
      <c r="L277" s="151" t="str">
        <f>IF(ISERROR(L272/L267),"–",IF(ABS(L272/L267*100)&gt;NM,"–",L272/L267*100))</f>
        <v>–</v>
      </c>
      <c r="M277" s="152"/>
      <c r="N277" s="151">
        <f>IF(ISERROR(N272/N267),"–",IF(ABS(N272/N267*100)&gt;NM,"–",N272/N267*100))</f>
        <v>-5.922165820642978</v>
      </c>
      <c r="O277" s="151" t="str">
        <f>IF(ISERROR(O272/O267),"–",IF(ABS(O272/O267*100)&gt;NM,"–",O272/O267*100))</f>
        <v>–</v>
      </c>
      <c r="P277" s="151" t="str">
        <f>IF(ISERROR(P272/P267),"–",IF(ABS(P272/P267*100)&gt;NM,"–",P272/P267*100))</f>
        <v>–</v>
      </c>
      <c r="Q277" s="151" t="str">
        <f>IF(ISERROR(Q272/Q267),"–",IF(ABS(Q272/Q267*100)&gt;NM,"–",Q272/Q267*100))</f>
        <v>–</v>
      </c>
      <c r="R277" s="40"/>
      <c r="S277" s="45"/>
      <c r="T277" s="40"/>
      <c r="U277" s="4"/>
      <c r="V277" s="40"/>
      <c r="W277" s="13"/>
      <c r="X277" s="59"/>
      <c r="Y277" s="59"/>
      <c r="Z277" s="59"/>
      <c r="AA277" s="322"/>
      <c r="AB277" s="47"/>
    </row>
    <row r="278" spans="1:28" ht="13.5" customHeight="1">
      <c r="A278" s="1"/>
      <c r="B278" s="325"/>
      <c r="C278" s="391"/>
      <c r="D278" s="392"/>
      <c r="E278" s="392"/>
      <c r="F278" s="386"/>
      <c r="G278" s="387"/>
      <c r="H278" s="387"/>
      <c r="I278" s="387"/>
      <c r="J278" s="387"/>
      <c r="K278" s="387"/>
      <c r="L278" s="387"/>
      <c r="M278" s="387"/>
      <c r="N278" s="387"/>
      <c r="O278" s="387"/>
      <c r="P278" s="387"/>
      <c r="Q278" s="387"/>
      <c r="R278" s="386"/>
      <c r="S278" s="386"/>
      <c r="T278" s="393"/>
      <c r="U278" s="373"/>
      <c r="V278" s="374"/>
      <c r="W278" s="374"/>
      <c r="X278" s="374"/>
      <c r="Y278" s="374"/>
      <c r="Z278" s="374"/>
      <c r="AA278" s="390"/>
      <c r="AB278" s="47"/>
    </row>
    <row r="279" spans="1:28" ht="27" customHeight="1">
      <c r="A279" s="1"/>
      <c r="B279" s="317"/>
      <c r="C279" s="375"/>
      <c r="D279" s="453" t="s">
        <v>148</v>
      </c>
      <c r="E279" s="376"/>
      <c r="F279" s="377"/>
      <c r="G279" s="377"/>
      <c r="H279" s="377"/>
      <c r="I279" s="377"/>
      <c r="J279" s="377"/>
      <c r="K279" s="377"/>
      <c r="L279" s="378"/>
      <c r="M279" s="378"/>
      <c r="N279" s="378"/>
      <c r="O279" s="378"/>
      <c r="P279" s="378"/>
      <c r="Q279" s="378"/>
      <c r="R279" s="377"/>
      <c r="S279" s="377"/>
      <c r="T279" s="377"/>
      <c r="U279" s="375"/>
      <c r="V279" s="377"/>
      <c r="W279" s="377"/>
      <c r="X279" s="377"/>
      <c r="Y279" s="377"/>
      <c r="Z279" s="377"/>
      <c r="AA279" s="379"/>
      <c r="AB279" s="47"/>
    </row>
    <row r="280" spans="1:28" ht="13.5" customHeight="1">
      <c r="A280" s="1"/>
      <c r="B280" s="318"/>
      <c r="C280" s="2"/>
      <c r="D280" s="2"/>
      <c r="E280" s="2"/>
      <c r="F280" s="2"/>
      <c r="G280" s="102"/>
      <c r="H280" s="102"/>
      <c r="I280" s="102"/>
      <c r="J280" s="102"/>
      <c r="K280" s="102"/>
      <c r="L280" s="136"/>
      <c r="M280" s="136"/>
      <c r="N280" s="137"/>
      <c r="O280" s="136"/>
      <c r="P280" s="136"/>
      <c r="Q280" s="136"/>
      <c r="R280" s="2"/>
      <c r="S280" s="2"/>
      <c r="T280" s="2"/>
      <c r="U280" s="2"/>
      <c r="V280" s="2"/>
      <c r="W280" s="2"/>
      <c r="X280" s="2"/>
      <c r="Y280" s="2"/>
      <c r="Z280" s="2"/>
      <c r="AA280" s="318"/>
      <c r="AB280" s="47"/>
    </row>
    <row r="281" spans="1:28" ht="13.5" customHeight="1">
      <c r="A281" s="1"/>
      <c r="B281" s="316"/>
      <c r="C281" s="3"/>
      <c r="D281" s="3" t="s">
        <v>0</v>
      </c>
      <c r="E281" s="3"/>
      <c r="F281" s="26"/>
      <c r="G281" s="103"/>
      <c r="H281" s="103"/>
      <c r="I281" s="103"/>
      <c r="J281" s="103"/>
      <c r="K281" s="103"/>
      <c r="L281" s="138"/>
      <c r="M281" s="139"/>
      <c r="N281" s="140"/>
      <c r="O281" s="138"/>
      <c r="P281" s="138"/>
      <c r="Q281" s="138"/>
      <c r="R281" s="26"/>
      <c r="S281" s="3"/>
      <c r="T281" s="26"/>
      <c r="U281" s="3"/>
      <c r="V281" s="26"/>
      <c r="W281" s="3"/>
      <c r="X281" s="3"/>
      <c r="Y281" s="3"/>
      <c r="Z281" s="3"/>
      <c r="AA281" s="318"/>
      <c r="AB281" s="47"/>
    </row>
    <row r="282" spans="1:28" ht="13.5" customHeight="1">
      <c r="A282" s="1"/>
      <c r="B282" s="316"/>
      <c r="C282" s="4" t="str">
        <f aca="true" t="shared" si="59" ref="C282:C291">"GM – Income statement – "&amp;D282</f>
        <v>GM – Income statement – Fixed income sales and trading</v>
      </c>
      <c r="D282" s="81" t="s">
        <v>138</v>
      </c>
      <c r="E282" s="90"/>
      <c r="F282" s="33"/>
      <c r="G282" s="170">
        <v>866</v>
      </c>
      <c r="H282" s="170">
        <v>811</v>
      </c>
      <c r="I282" s="170">
        <v>698</v>
      </c>
      <c r="J282" s="170">
        <v>547</v>
      </c>
      <c r="K282" s="170">
        <v>860</v>
      </c>
      <c r="L282" s="141">
        <f>IF(L$27="No","–",IF(INDEX(CS_CONS_LINK_ARRAY,MATCH($C282,CS_CONS_LINK_COLUMN,0),MATCH(L$1,CS_CONS_LINK_ROW,0))="","",INDEX(CS_CONS_LINK_ARRAY,MATCH($C282,CS_CONS_LINK_COLUMN,0),MATCH(L$1,CS_CONS_LINK_ROW,0))))</f>
      </c>
      <c r="M282" s="142"/>
      <c r="N282" s="170">
        <v>2922</v>
      </c>
      <c r="O282" s="141">
        <f aca="true" t="shared" si="60" ref="O282:Q283">IF(O$27="No","–",IF(INDEX(CS_CONS_LINK_ARRAY,MATCH($C282,CS_CONS_LINK_COLUMN,0),MATCH(O$1,CS_CONS_LINK_ROW,0))="","",INDEX(CS_CONS_LINK_ARRAY,MATCH($C282,CS_CONS_LINK_COLUMN,0),MATCH(O$1,CS_CONS_LINK_ROW,0))))</f>
      </c>
      <c r="P282" s="141">
        <f t="shared" si="60"/>
      </c>
      <c r="Q282" s="141">
        <f t="shared" si="60"/>
      </c>
      <c r="R282" s="33"/>
      <c r="S282" s="45"/>
      <c r="T282" s="33"/>
      <c r="U282" s="38" t="s">
        <v>26</v>
      </c>
      <c r="V282" s="33"/>
      <c r="W282" s="37">
        <f>IF(L282="–",0,IF($U282="Positive Number",IF(OR(L282&lt;0,ISTEXT(L282),ISERROR(L282)),1,0),IF(OR(ISTEXT(L282),ISERROR(L282)),1,0)))</f>
        <v>1</v>
      </c>
      <c r="X282" s="57">
        <f aca="true" t="shared" si="61" ref="X282:Z283">IF(O282="–",0,IF($U282="Positive Number",IF(OR(O282&lt;0,ISTEXT(O282),ISERROR(O282)),1,0),IF(OR(ISTEXT(O282),ISERROR(O282)),1,0)))</f>
        <v>1</v>
      </c>
      <c r="Y282" s="57">
        <f t="shared" si="61"/>
        <v>1</v>
      </c>
      <c r="Z282" s="57">
        <f t="shared" si="61"/>
        <v>1</v>
      </c>
      <c r="AA282" s="318"/>
      <c r="AB282" s="47"/>
    </row>
    <row r="283" spans="1:28" ht="13.5" customHeight="1">
      <c r="A283" s="1"/>
      <c r="B283" s="316"/>
      <c r="C283" s="4" t="str">
        <f t="shared" si="59"/>
        <v>GM – Income statement – Equity sales and trading</v>
      </c>
      <c r="D283" s="81" t="s">
        <v>139</v>
      </c>
      <c r="E283" s="90"/>
      <c r="F283" s="33"/>
      <c r="G283" s="170">
        <v>488</v>
      </c>
      <c r="H283" s="170">
        <v>501</v>
      </c>
      <c r="I283" s="170">
        <v>383</v>
      </c>
      <c r="J283" s="170">
        <v>378</v>
      </c>
      <c r="K283" s="170">
        <v>490</v>
      </c>
      <c r="L283" s="141">
        <f>IF(L$27="No","–",IF(INDEX(CS_CONS_LINK_ARRAY,MATCH($C283,CS_CONS_LINK_COLUMN,0),MATCH(L$1,CS_CONS_LINK_ROW,0))="","",INDEX(CS_CONS_LINK_ARRAY,MATCH($C283,CS_CONS_LINK_COLUMN,0),MATCH(L$1,CS_CONS_LINK_ROW,0))))</f>
      </c>
      <c r="M283" s="142"/>
      <c r="N283" s="170">
        <v>1750</v>
      </c>
      <c r="O283" s="141">
        <f t="shared" si="60"/>
      </c>
      <c r="P283" s="141">
        <f t="shared" si="60"/>
      </c>
      <c r="Q283" s="141">
        <f t="shared" si="60"/>
      </c>
      <c r="R283" s="33"/>
      <c r="S283" s="45"/>
      <c r="T283" s="33"/>
      <c r="U283" s="38" t="s">
        <v>26</v>
      </c>
      <c r="V283" s="33"/>
      <c r="W283" s="37">
        <f>IF(L283="–",0,IF($U283="Positive Number",IF(OR(L283&lt;0,ISTEXT(L283),ISERROR(L283)),1,0),IF(OR(ISTEXT(L283),ISERROR(L283)),1,0)))</f>
        <v>1</v>
      </c>
      <c r="X283" s="57">
        <f t="shared" si="61"/>
        <v>1</v>
      </c>
      <c r="Y283" s="57">
        <f t="shared" si="61"/>
        <v>1</v>
      </c>
      <c r="Z283" s="57">
        <f t="shared" si="61"/>
        <v>1</v>
      </c>
      <c r="AA283" s="318"/>
      <c r="AB283" s="47"/>
    </row>
    <row r="284" spans="1:28" ht="13.5" customHeight="1">
      <c r="A284" s="1"/>
      <c r="B284" s="316"/>
      <c r="C284" s="4" t="str">
        <f t="shared" si="59"/>
        <v>GM – Income statement – Underwriting</v>
      </c>
      <c r="D284" s="473" t="s">
        <v>288</v>
      </c>
      <c r="E284" s="89"/>
      <c r="F284" s="33"/>
      <c r="G284" s="170">
        <v>312</v>
      </c>
      <c r="H284" s="170">
        <v>249</v>
      </c>
      <c r="I284" s="170">
        <v>240</v>
      </c>
      <c r="J284" s="170">
        <v>314</v>
      </c>
      <c r="K284" s="170">
        <v>288</v>
      </c>
      <c r="L284" s="141">
        <f>IF(L$27="No","–",IF(INDEX(CS_CONS_LINK_ARRAY,MATCH($C284,CS_CONS_LINK_COLUMN,0),MATCH(L$1,CS_CONS_LINK_ROW,0))="","",INDEX(CS_CONS_LINK_ARRAY,MATCH($C284,CS_CONS_LINK_COLUMN,0),MATCH(L$1,CS_CONS_LINK_ROW,0))))</f>
      </c>
      <c r="M284" s="142"/>
      <c r="N284" s="170">
        <v>1115</v>
      </c>
      <c r="O284" s="141">
        <f aca="true" t="shared" si="62" ref="O284:Q285">IF(O$27="No","–",IF(INDEX(CS_CONS_LINK_ARRAY,MATCH($C284,CS_CONS_LINK_COLUMN,0),MATCH(O$1,CS_CONS_LINK_ROW,0))="","",INDEX(CS_CONS_LINK_ARRAY,MATCH($C284,CS_CONS_LINK_COLUMN,0),MATCH(O$1,CS_CONS_LINK_ROW,0))))</f>
      </c>
      <c r="P284" s="141">
        <f t="shared" si="62"/>
      </c>
      <c r="Q284" s="141">
        <f t="shared" si="62"/>
      </c>
      <c r="R284" s="33"/>
      <c r="S284" s="45"/>
      <c r="T284" s="33"/>
      <c r="U284" s="38" t="s">
        <v>25</v>
      </c>
      <c r="V284" s="33"/>
      <c r="W284" s="37">
        <f>IF(L284="–",0,IF($U284="Positive Number",IF(OR(L284&lt;0,ISTEXT(L284),ISERROR(L284)),1,0),IF(OR(ISTEXT(L284),ISERROR(L284)),1,0)))</f>
        <v>1</v>
      </c>
      <c r="X284" s="57">
        <f aca="true" t="shared" si="63" ref="X284:Z285">IF(O284="–",0,IF($U284="Positive Number",IF(OR(O284&lt;0,ISTEXT(O284),ISERROR(O284)),1,0),IF(OR(ISTEXT(O284),ISERROR(O284)),1,0)))</f>
        <v>1</v>
      </c>
      <c r="Y284" s="57">
        <f t="shared" si="63"/>
        <v>1</v>
      </c>
      <c r="Z284" s="57">
        <f t="shared" si="63"/>
        <v>1</v>
      </c>
      <c r="AA284" s="318"/>
      <c r="AB284" s="47"/>
    </row>
    <row r="285" spans="1:28" ht="13.5" customHeight="1">
      <c r="A285" s="1"/>
      <c r="B285" s="316"/>
      <c r="C285" s="4" t="str">
        <f t="shared" si="59"/>
        <v>GM – Income statement – Other</v>
      </c>
      <c r="D285" s="81" t="s">
        <v>195</v>
      </c>
      <c r="E285" s="84"/>
      <c r="F285" s="33"/>
      <c r="G285" s="170">
        <v>-57</v>
      </c>
      <c r="H285" s="170">
        <v>-44</v>
      </c>
      <c r="I285" s="170">
        <v>-59</v>
      </c>
      <c r="J285" s="170">
        <v>-76</v>
      </c>
      <c r="K285" s="170">
        <v>-92</v>
      </c>
      <c r="L285" s="141">
        <f>IF(L$27="No","–",IF(INDEX(CS_CONS_LINK_ARRAY,MATCH($C285,CS_CONS_LINK_COLUMN,0),MATCH(L$1,CS_CONS_LINK_ROW,0))="","",INDEX(CS_CONS_LINK_ARRAY,MATCH($C285,CS_CONS_LINK_COLUMN,0),MATCH(L$1,CS_CONS_LINK_ROW,0))))</f>
      </c>
      <c r="M285" s="142"/>
      <c r="N285" s="170">
        <v>-236</v>
      </c>
      <c r="O285" s="141">
        <f t="shared" si="62"/>
      </c>
      <c r="P285" s="141">
        <f t="shared" si="62"/>
      </c>
      <c r="Q285" s="141">
        <f t="shared" si="62"/>
      </c>
      <c r="R285" s="33"/>
      <c r="S285" s="45"/>
      <c r="T285" s="33"/>
      <c r="U285" s="38" t="s">
        <v>26</v>
      </c>
      <c r="V285" s="33"/>
      <c r="W285" s="37">
        <f>IF(L285="–",0,IF($U285="Positive Number",IF(OR(L285&lt;0,ISTEXT(L285),ISERROR(L285)),1,0),IF(OR(ISTEXT(L285),ISERROR(L285)),1,0)))</f>
        <v>1</v>
      </c>
      <c r="X285" s="57">
        <f t="shared" si="63"/>
        <v>1</v>
      </c>
      <c r="Y285" s="57">
        <f t="shared" si="63"/>
        <v>1</v>
      </c>
      <c r="Z285" s="57">
        <f t="shared" si="63"/>
        <v>1</v>
      </c>
      <c r="AA285" s="318"/>
      <c r="AB285" s="47"/>
    </row>
    <row r="286" spans="1:28" ht="13.5" customHeight="1">
      <c r="A286" s="1"/>
      <c r="B286" s="316"/>
      <c r="C286" s="4" t="str">
        <f t="shared" si="59"/>
        <v>GM – Income statement – Net revenues</v>
      </c>
      <c r="D286" s="75" t="s">
        <v>1</v>
      </c>
      <c r="E286" s="83"/>
      <c r="F286" s="33"/>
      <c r="G286" s="145">
        <f>IF(ISERROR(+G282+G283+G284+G285),"–",G282+G283+G284+G285)</f>
        <v>1609</v>
      </c>
      <c r="H286" s="145">
        <f>IF(ISERROR(+H282+H283+H284+H285),"–",H282+H283+H284+H285)</f>
        <v>1517</v>
      </c>
      <c r="I286" s="145">
        <f>IF(ISERROR(+I282+I283+I284+I285),"–",I282+I283+I284+I285)</f>
        <v>1262</v>
      </c>
      <c r="J286" s="145">
        <f>IF(ISERROR(+J282+J283+J284+J285),"–",J282+J283+J284+J285)</f>
        <v>1163</v>
      </c>
      <c r="K286" s="145">
        <f>IF(ISERROR(+K282+K283+K284+K285),"–",K282+K283+K284+K285)</f>
        <v>1546</v>
      </c>
      <c r="L286" s="145" t="str">
        <f>IF(ISERROR(+L282+L283+L284+L285),"–",L282+L283+L284+L285)</f>
        <v>–</v>
      </c>
      <c r="M286" s="142"/>
      <c r="N286" s="145">
        <f>IF(ISERROR(+N282+N283+N284+N285),"–",N282+N283+N284+N285)</f>
        <v>5551</v>
      </c>
      <c r="O286" s="145" t="str">
        <f>IF(ISERROR(+O282+O283+O284+O285),"–",O282+O283+O284+O285)</f>
        <v>–</v>
      </c>
      <c r="P286" s="145" t="str">
        <f>IF(ISERROR(+P282+P283+P284+P285),"–",P282+P283+P284+P285)</f>
        <v>–</v>
      </c>
      <c r="Q286" s="145" t="str">
        <f>IF(ISERROR(+Q282+Q283+Q284+Q285),"–",Q282+Q283+Q284+Q285)</f>
        <v>–</v>
      </c>
      <c r="R286" s="33"/>
      <c r="S286" s="45"/>
      <c r="T286" s="33"/>
      <c r="U286" s="4"/>
      <c r="V286" s="33"/>
      <c r="W286" s="5"/>
      <c r="X286" s="54"/>
      <c r="Y286" s="54"/>
      <c r="Z286" s="54"/>
      <c r="AA286" s="318"/>
      <c r="AB286" s="47"/>
    </row>
    <row r="287" spans="1:28" ht="13.5" customHeight="1">
      <c r="A287" s="10"/>
      <c r="B287" s="319"/>
      <c r="C287" s="4" t="str">
        <f t="shared" si="59"/>
        <v>GM – Income statement – Provision for credit losses</v>
      </c>
      <c r="D287" s="75" t="s">
        <v>5</v>
      </c>
      <c r="E287" s="83"/>
      <c r="F287" s="33"/>
      <c r="G287" s="275">
        <v>5</v>
      </c>
      <c r="H287" s="275">
        <v>12</v>
      </c>
      <c r="I287" s="275">
        <v>6</v>
      </c>
      <c r="J287" s="275">
        <v>8</v>
      </c>
      <c r="K287" s="275">
        <v>4</v>
      </c>
      <c r="L287" s="147">
        <f>IF(L$27="No","–",IF(INDEX(CS_CONS_LINK_ARRAY,MATCH($C287,CS_CONS_LINK_COLUMN,0),MATCH(L$1,CS_CONS_LINK_ROW,0))="","",INDEX(CS_CONS_LINK_ARRAY,MATCH($C287,CS_CONS_LINK_COLUMN,0),MATCH(L$1,CS_CONS_LINK_ROW,0))))</f>
      </c>
      <c r="M287" s="142"/>
      <c r="N287" s="148">
        <v>31</v>
      </c>
      <c r="O287" s="147">
        <f aca="true" t="shared" si="64" ref="O287:Q289">IF(O$27="No","–",IF(INDEX(CS_CONS_LINK_ARRAY,MATCH($C287,CS_CONS_LINK_COLUMN,0),MATCH(O$1,CS_CONS_LINK_ROW,0))="","",INDEX(CS_CONS_LINK_ARRAY,MATCH($C287,CS_CONS_LINK_COLUMN,0),MATCH(O$1,CS_CONS_LINK_ROW,0))))</f>
      </c>
      <c r="P287" s="147">
        <f t="shared" si="64"/>
      </c>
      <c r="Q287" s="147">
        <f t="shared" si="64"/>
      </c>
      <c r="R287" s="33"/>
      <c r="S287" s="45"/>
      <c r="T287" s="33"/>
      <c r="U287" s="38" t="s">
        <v>26</v>
      </c>
      <c r="V287" s="33"/>
      <c r="W287" s="37">
        <f>IF(L287="–",0,IF($U287="Positive Number",IF(OR(L287&lt;0,ISTEXT(L287),ISERROR(L287)),1,0),IF(OR(ISTEXT(L287),ISERROR(L287)),1,0)))</f>
        <v>1</v>
      </c>
      <c r="X287" s="57">
        <f aca="true" t="shared" si="65" ref="X287:Z289">IF(O287="–",0,IF($U287="Positive Number",IF(OR(O287&lt;0,ISTEXT(O287),ISERROR(O287)),1,0),IF(OR(ISTEXT(O287),ISERROR(O287)),1,0)))</f>
        <v>1</v>
      </c>
      <c r="Y287" s="57">
        <f t="shared" si="65"/>
        <v>1</v>
      </c>
      <c r="Z287" s="57">
        <f t="shared" si="65"/>
        <v>1</v>
      </c>
      <c r="AA287" s="399"/>
      <c r="AB287" s="47"/>
    </row>
    <row r="288" spans="1:28" ht="13.5" customHeight="1">
      <c r="A288" s="1"/>
      <c r="B288" s="316"/>
      <c r="C288" s="4" t="str">
        <f t="shared" si="59"/>
        <v>GM – Income statement – Compensation and benefits</v>
      </c>
      <c r="D288" s="76" t="s">
        <v>6</v>
      </c>
      <c r="E288" s="84"/>
      <c r="F288" s="33"/>
      <c r="G288" s="273">
        <v>690</v>
      </c>
      <c r="H288" s="273">
        <v>629</v>
      </c>
      <c r="I288" s="273">
        <v>568</v>
      </c>
      <c r="J288" s="273">
        <v>645</v>
      </c>
      <c r="K288" s="273">
        <v>617</v>
      </c>
      <c r="L288" s="141">
        <f>IF(L$27="No","–",IF(INDEX(CS_CONS_LINK_ARRAY,MATCH($C288,CS_CONS_LINK_COLUMN,0),MATCH(L$1,CS_CONS_LINK_ROW,0))="","",INDEX(CS_CONS_LINK_ARRAY,MATCH($C288,CS_CONS_LINK_COLUMN,0),MATCH(L$1,CS_CONS_LINK_ROW,0))))</f>
      </c>
      <c r="M288" s="142"/>
      <c r="N288" s="143">
        <v>2532</v>
      </c>
      <c r="O288" s="141">
        <f t="shared" si="64"/>
      </c>
      <c r="P288" s="141">
        <f t="shared" si="64"/>
      </c>
      <c r="Q288" s="141">
        <f t="shared" si="64"/>
      </c>
      <c r="R288" s="33"/>
      <c r="S288" s="45"/>
      <c r="T288" s="33"/>
      <c r="U288" s="38" t="s">
        <v>25</v>
      </c>
      <c r="V288" s="33"/>
      <c r="W288" s="37">
        <f>IF(L288="–",0,IF($U288="Positive Number",IF(OR(L288&lt;0,ISTEXT(L288),ISERROR(L288)),1,0),IF(OR(ISTEXT(L288),ISERROR(L288)),1,0)))</f>
        <v>1</v>
      </c>
      <c r="X288" s="57">
        <f t="shared" si="65"/>
        <v>1</v>
      </c>
      <c r="Y288" s="57">
        <f t="shared" si="65"/>
        <v>1</v>
      </c>
      <c r="Z288" s="57">
        <f t="shared" si="65"/>
        <v>1</v>
      </c>
      <c r="AA288" s="318"/>
      <c r="AB288" s="47"/>
    </row>
    <row r="289" spans="1:28" ht="13.5" customHeight="1">
      <c r="A289" s="1"/>
      <c r="B289" s="316"/>
      <c r="C289" s="4" t="str">
        <f t="shared" si="59"/>
        <v>GM – Income statement – Total other operating expenses</v>
      </c>
      <c r="D289" s="76" t="s">
        <v>137</v>
      </c>
      <c r="E289" s="84"/>
      <c r="F289" s="33"/>
      <c r="G289" s="273">
        <v>597</v>
      </c>
      <c r="H289" s="273">
        <v>619</v>
      </c>
      <c r="I289" s="273">
        <v>617</v>
      </c>
      <c r="J289" s="273">
        <v>705</v>
      </c>
      <c r="K289" s="273">
        <v>630</v>
      </c>
      <c r="L289" s="141">
        <f>IF(L$27="No","–",IF(INDEX(CS_CONS_LINK_ARRAY,MATCH($C289,CS_CONS_LINK_COLUMN,0),MATCH(L$1,CS_CONS_LINK_ROW,0))="","",INDEX(CS_CONS_LINK_ARRAY,MATCH($C289,CS_CONS_LINK_COLUMN,0),MATCH(L$1,CS_CONS_LINK_ROW,0))))</f>
      </c>
      <c r="M289" s="142"/>
      <c r="N289" s="143">
        <v>2538</v>
      </c>
      <c r="O289" s="141">
        <f t="shared" si="64"/>
      </c>
      <c r="P289" s="141">
        <f t="shared" si="64"/>
      </c>
      <c r="Q289" s="141">
        <f t="shared" si="64"/>
      </c>
      <c r="R289" s="33"/>
      <c r="S289" s="45"/>
      <c r="T289" s="33"/>
      <c r="U289" s="38" t="s">
        <v>25</v>
      </c>
      <c r="V289" s="33"/>
      <c r="W289" s="37">
        <f>IF(L289="–",0,IF($U289="Positive Number",IF(OR(L289&lt;0,ISTEXT(L289),ISERROR(L289)),1,0),IF(OR(ISTEXT(L289),ISERROR(L289)),1,0)))</f>
        <v>1</v>
      </c>
      <c r="X289" s="57">
        <f t="shared" si="65"/>
        <v>1</v>
      </c>
      <c r="Y289" s="57">
        <f t="shared" si="65"/>
        <v>1</v>
      </c>
      <c r="Z289" s="57">
        <f t="shared" si="65"/>
        <v>1</v>
      </c>
      <c r="AA289" s="318"/>
      <c r="AB289" s="47"/>
    </row>
    <row r="290" spans="1:28" ht="13.5" customHeight="1">
      <c r="A290" s="1"/>
      <c r="B290" s="316"/>
      <c r="C290" s="4" t="str">
        <f t="shared" si="59"/>
        <v>GM – Income statement – Total operating expenses</v>
      </c>
      <c r="D290" s="75" t="s">
        <v>7</v>
      </c>
      <c r="E290" s="83"/>
      <c r="F290" s="33"/>
      <c r="G290" s="145">
        <f>IF(ISERROR(G288+G289),"–",G288+G289)</f>
        <v>1287</v>
      </c>
      <c r="H290" s="145">
        <f>IF(ISERROR(H288+H289),"–",H288+H289)</f>
        <v>1248</v>
      </c>
      <c r="I290" s="145">
        <f>IF(ISERROR(I288+I289),"–",I288+I289)</f>
        <v>1185</v>
      </c>
      <c r="J290" s="145">
        <f>IF(ISERROR(J288+J289),"–",J288+J289)</f>
        <v>1350</v>
      </c>
      <c r="K290" s="145">
        <f>IF(ISERROR(K288+K289),"–",K288+K289)</f>
        <v>1247</v>
      </c>
      <c r="L290" s="145" t="str">
        <f>IF(ISERROR(L288+L289),"–",L288+L289)</f>
        <v>–</v>
      </c>
      <c r="M290" s="142"/>
      <c r="N290" s="145">
        <f>IF(ISERROR(N288+N289),"–",N288+N289)</f>
        <v>5070</v>
      </c>
      <c r="O290" s="145" t="str">
        <f>IF(ISERROR(O288+O289),"–",O288+O289)</f>
        <v>–</v>
      </c>
      <c r="P290" s="145" t="str">
        <f>IF(ISERROR(P288+P289),"–",P288+P289)</f>
        <v>–</v>
      </c>
      <c r="Q290" s="145" t="str">
        <f>IF(ISERROR(Q288+Q289),"–",Q288+Q289)</f>
        <v>–</v>
      </c>
      <c r="R290" s="33"/>
      <c r="S290" s="45"/>
      <c r="T290" s="33"/>
      <c r="U290" s="4"/>
      <c r="V290" s="33"/>
      <c r="W290" s="5"/>
      <c r="X290" s="54"/>
      <c r="Y290" s="54"/>
      <c r="Z290" s="54"/>
      <c r="AA290" s="318"/>
      <c r="AB290" s="47"/>
    </row>
    <row r="291" spans="1:28" ht="13.5" customHeight="1">
      <c r="A291" s="1"/>
      <c r="B291" s="316"/>
      <c r="C291" s="4" t="str">
        <f t="shared" si="59"/>
        <v>GM – Income statement – Income from continuing operations before taxes</v>
      </c>
      <c r="D291" s="75" t="s">
        <v>8</v>
      </c>
      <c r="E291" s="83"/>
      <c r="F291" s="33"/>
      <c r="G291" s="146">
        <f>IF(ISERROR(G286-G287-G290),"–",G286-G287-G290)</f>
        <v>317</v>
      </c>
      <c r="H291" s="146">
        <f>IF(ISERROR(H286-H287-H290),"–",H286-H287-H290)</f>
        <v>257</v>
      </c>
      <c r="I291" s="146">
        <f>IF(ISERROR(I286-I287-I290),"–",I286-I287-I290)</f>
        <v>71</v>
      </c>
      <c r="J291" s="146">
        <f>IF(ISERROR(J286-J287-J290),"–",J286-J287-J290)</f>
        <v>-195</v>
      </c>
      <c r="K291" s="146">
        <f>IF(ISERROR(K286-K287-K290),"–",K286-K287-K290)</f>
        <v>295</v>
      </c>
      <c r="L291" s="146" t="str">
        <f>IF(ISERROR(L286-L287-L290),"–",L286-L287-L290)</f>
        <v>–</v>
      </c>
      <c r="M291" s="142"/>
      <c r="N291" s="146">
        <f>IF(ISERROR(N286-N287-N290),"–",N286-N287-N290)</f>
        <v>450</v>
      </c>
      <c r="O291" s="146" t="str">
        <f>IF(ISERROR(O286-O287-O290),"–",O286-O287-O290)</f>
        <v>–</v>
      </c>
      <c r="P291" s="146" t="str">
        <f>IF(ISERROR(P286-P287-P290),"–",P286-P287-P290)</f>
        <v>–</v>
      </c>
      <c r="Q291" s="146" t="str">
        <f>IF(ISERROR(Q286-Q287-Q290),"–",Q286-Q287-Q290)</f>
        <v>–</v>
      </c>
      <c r="R291" s="33"/>
      <c r="S291" s="45"/>
      <c r="T291" s="33"/>
      <c r="U291" s="4"/>
      <c r="V291" s="33"/>
      <c r="W291" s="5"/>
      <c r="X291" s="54"/>
      <c r="Y291" s="54"/>
      <c r="Z291" s="54"/>
      <c r="AA291" s="318"/>
      <c r="AB291" s="47"/>
    </row>
    <row r="292" spans="1:28" ht="13.5" customHeight="1">
      <c r="A292" s="1"/>
      <c r="B292" s="316"/>
      <c r="C292" s="6"/>
      <c r="D292" s="7"/>
      <c r="E292" s="7"/>
      <c r="F292" s="33"/>
      <c r="G292" s="149"/>
      <c r="H292" s="149"/>
      <c r="I292" s="149"/>
      <c r="J292" s="149"/>
      <c r="K292" s="149"/>
      <c r="L292" s="149"/>
      <c r="M292" s="142"/>
      <c r="N292" s="149"/>
      <c r="O292" s="149"/>
      <c r="P292" s="149"/>
      <c r="Q292" s="149"/>
      <c r="R292" s="33"/>
      <c r="S292" s="8"/>
      <c r="T292" s="33"/>
      <c r="U292" s="6"/>
      <c r="V292" s="33"/>
      <c r="W292" s="8"/>
      <c r="X292" s="8"/>
      <c r="Y292" s="8"/>
      <c r="Z292" s="8"/>
      <c r="AA292" s="318"/>
      <c r="AB292" s="47"/>
    </row>
    <row r="293" spans="1:28" ht="13.5" customHeight="1" hidden="1">
      <c r="A293" s="1"/>
      <c r="B293" s="316"/>
      <c r="C293" s="4" t="str">
        <f>"GM – Income statement – "&amp;D293</f>
        <v>GM – Income statement – Compensation ratio (%)</v>
      </c>
      <c r="D293" s="82" t="s">
        <v>9</v>
      </c>
      <c r="E293" s="91"/>
      <c r="F293" s="33"/>
      <c r="G293" s="151">
        <f>IF(ISERROR(G288/G286),"–",IF(ABS(G288/G286*100)&gt;NM,"–",G288/G286*100))</f>
        <v>42.88377874456184</v>
      </c>
      <c r="H293" s="151">
        <f>IF(ISERROR(H288/H286),"–",IF(ABS(H288/H286*100)&gt;NM,"–",H288/H286*100))</f>
        <v>41.46341463414634</v>
      </c>
      <c r="I293" s="151">
        <f>IF(ISERROR(I288/I286),"–",IF(ABS(I288/I286*100)&gt;NM,"–",I288/I286*100))</f>
        <v>45.00792393026941</v>
      </c>
      <c r="J293" s="151">
        <f>IF(ISERROR(J288/J286),"–",IF(ABS(J288/J286*100)&gt;NM,"–",J288/J286*100))</f>
        <v>55.46001719690455</v>
      </c>
      <c r="K293" s="151">
        <f>IF(ISERROR(K288/K286),"–",IF(ABS(K288/K286*100)&gt;NM,"–",K288/K286*100))</f>
        <v>39.909443725743856</v>
      </c>
      <c r="L293" s="151" t="str">
        <f>IF(ISERROR(L288/L286),"–",IF(ABS(L288/L286*100)&gt;NM,"–",L288/L286*100))</f>
        <v>–</v>
      </c>
      <c r="M293" s="142"/>
      <c r="N293" s="151">
        <f>IF(ISERROR(N288/N286),"–",IF(ABS(N288/N286*100)&gt;NM,"–",N288/N286*100))</f>
        <v>45.61340299045217</v>
      </c>
      <c r="O293" s="151" t="str">
        <f>IF(ISERROR(O288/O286),"–",IF(ABS(O288/O286*100)&gt;NM,"–",O288/O286*100))</f>
        <v>–</v>
      </c>
      <c r="P293" s="151" t="str">
        <f>IF(ISERROR(P288/P286),"–",IF(ABS(P288/P286*100)&gt;NM,"–",P288/P286*100))</f>
        <v>–</v>
      </c>
      <c r="Q293" s="151" t="str">
        <f>IF(ISERROR(Q288/Q286),"–",IF(ABS(Q288/Q286*100)&gt;NM,"–",Q288/Q286*100))</f>
        <v>–</v>
      </c>
      <c r="R293" s="33"/>
      <c r="S293" s="45"/>
      <c r="T293" s="33"/>
      <c r="U293" s="4"/>
      <c r="V293" s="33"/>
      <c r="W293" s="12"/>
      <c r="X293" s="58"/>
      <c r="Y293" s="58"/>
      <c r="Z293" s="58"/>
      <c r="AA293" s="318"/>
      <c r="AB293" s="47"/>
    </row>
    <row r="294" spans="1:28" ht="13.5" customHeight="1" hidden="1">
      <c r="A294" s="1"/>
      <c r="B294" s="316"/>
      <c r="C294" s="4" t="str">
        <f>"GM – Income statement – "&amp;D294</f>
        <v>GM – Income statement – Non-compensation ratio (%)</v>
      </c>
      <c r="D294" s="82" t="s">
        <v>10</v>
      </c>
      <c r="E294" s="91"/>
      <c r="F294" s="33"/>
      <c r="G294" s="151">
        <f>IF(ISERROR(G289/G286),"–",IF(ABS(G289/G286*100)&gt;NM,"–",G289/G286*100))</f>
        <v>37.10379117464264</v>
      </c>
      <c r="H294" s="151">
        <f>IF(ISERROR(H289/H286),"–",IF(ABS(H289/H286*100)&gt;NM,"–",H289/H286*100))</f>
        <v>40.80421885299934</v>
      </c>
      <c r="I294" s="151">
        <f>IF(ISERROR(I289/I286),"–",IF(ABS(I289/I286*100)&gt;NM,"–",I289/I286*100))</f>
        <v>48.89064976228209</v>
      </c>
      <c r="J294" s="151">
        <f>IF(ISERROR(J289/J286),"–",IF(ABS(J289/J286*100)&gt;NM,"–",J289/J286*100))</f>
        <v>60.619088564058465</v>
      </c>
      <c r="K294" s="151">
        <f>IF(ISERROR(K289/K286),"–",IF(ABS(K289/K286*100)&gt;NM,"–",K289/K286*100))</f>
        <v>40.7503234152652</v>
      </c>
      <c r="L294" s="151" t="str">
        <f>IF(ISERROR(L289/L286),"–",IF(ABS(L289/L286*100)&gt;NM,"–",L289/L286*100))</f>
        <v>–</v>
      </c>
      <c r="M294" s="142"/>
      <c r="N294" s="151">
        <f>IF(ISERROR(N289/N286),"–",IF(ABS(N289/N286*100)&gt;NM,"–",N289/N286*100))</f>
        <v>45.721491623130966</v>
      </c>
      <c r="O294" s="151" t="str">
        <f>IF(ISERROR(O289/O286),"–",IF(ABS(O289/O286*100)&gt;NM,"–",O289/O286*100))</f>
        <v>–</v>
      </c>
      <c r="P294" s="151" t="str">
        <f>IF(ISERROR(P289/P286),"–",IF(ABS(P289/P286*100)&gt;NM,"–",P289/P286*100))</f>
        <v>–</v>
      </c>
      <c r="Q294" s="151" t="str">
        <f>IF(ISERROR(Q289/Q286),"–",IF(ABS(Q289/Q286*100)&gt;NM,"–",Q289/Q286*100))</f>
        <v>–</v>
      </c>
      <c r="R294" s="33"/>
      <c r="S294" s="45"/>
      <c r="T294" s="33"/>
      <c r="U294" s="4"/>
      <c r="V294" s="33"/>
      <c r="W294" s="12"/>
      <c r="X294" s="58"/>
      <c r="Y294" s="58"/>
      <c r="Z294" s="58"/>
      <c r="AA294" s="318"/>
      <c r="AB294" s="47"/>
    </row>
    <row r="295" spans="1:28" ht="13.5" customHeight="1">
      <c r="A295" s="1"/>
      <c r="B295" s="316"/>
      <c r="C295" s="4" t="str">
        <f>"GM – Income statement – "&amp;D295</f>
        <v>GM – Income statement – Cost / income ratio (%)</v>
      </c>
      <c r="D295" s="77" t="s">
        <v>11</v>
      </c>
      <c r="E295" s="85"/>
      <c r="F295" s="33"/>
      <c r="G295" s="151">
        <f>IF(ISERROR(G290/G286),"–",IF(ABS(G290/G286*100)&gt;NM,"–",G290/G286*100))</f>
        <v>79.98756991920447</v>
      </c>
      <c r="H295" s="151">
        <f>IF(ISERROR(H290/H286),"–",IF(ABS(H290/H286*100)&gt;NM,"–",H290/H286*100))</f>
        <v>82.26763348714569</v>
      </c>
      <c r="I295" s="151">
        <f>IF(ISERROR(I290/I286),"–",IF(ABS(I290/I286*100)&gt;NM,"–",I290/I286*100))</f>
        <v>93.89857369255151</v>
      </c>
      <c r="J295" s="151">
        <f>IF(ISERROR(J290/J286),"–",IF(ABS(J290/J286*100)&gt;NM,"–",J290/J286*100))</f>
        <v>116.07910576096303</v>
      </c>
      <c r="K295" s="151">
        <f>IF(ISERROR(K290/K286),"–",IF(ABS(K290/K286*100)&gt;NM,"–",K290/K286*100))</f>
        <v>80.65976714100906</v>
      </c>
      <c r="L295" s="151" t="str">
        <f>IF(ISERROR(L290/L286),"–",IF(ABS(L290/L286*100)&gt;NM,"–",L290/L286*100))</f>
        <v>–</v>
      </c>
      <c r="M295" s="142"/>
      <c r="N295" s="151">
        <f>IF(ISERROR(N290/N286),"–",IF(ABS(N290/N286*100)&gt;NM,"–",N290/N286*100))</f>
        <v>91.33489461358315</v>
      </c>
      <c r="O295" s="151" t="str">
        <f>IF(ISERROR(O290/O286),"–",IF(ABS(O290/O286*100)&gt;NM,"–",O290/O286*100))</f>
        <v>–</v>
      </c>
      <c r="P295" s="151" t="str">
        <f>IF(ISERROR(P290/P286),"–",IF(ABS(P290/P286*100)&gt;NM,"–",P290/P286*100))</f>
        <v>–</v>
      </c>
      <c r="Q295" s="151" t="str">
        <f>IF(ISERROR(Q290/Q286),"–",IF(ABS(Q290/Q286*100)&gt;NM,"–",Q290/Q286*100))</f>
        <v>–</v>
      </c>
      <c r="R295" s="33"/>
      <c r="S295" s="45"/>
      <c r="T295" s="33"/>
      <c r="U295" s="4"/>
      <c r="V295" s="33"/>
      <c r="W295" s="13"/>
      <c r="X295" s="59"/>
      <c r="Y295" s="59"/>
      <c r="Z295" s="59"/>
      <c r="AA295" s="318"/>
      <c r="AB295" s="47"/>
    </row>
    <row r="296" spans="1:28" ht="13.5" customHeight="1">
      <c r="A296" s="1"/>
      <c r="B296" s="316"/>
      <c r="C296" s="4" t="str">
        <f>"GM – Income statement – "&amp;D296</f>
        <v>GM – Income statement – Pre-tax income margin (%)</v>
      </c>
      <c r="D296" s="77" t="s">
        <v>12</v>
      </c>
      <c r="E296" s="85"/>
      <c r="F296" s="33"/>
      <c r="G296" s="151">
        <f>IF(ISERROR(G291/G286),"–",IF(ABS(G291/G286*100)&gt;NM,"–",G291/G286*100))</f>
        <v>19.701678060907398</v>
      </c>
      <c r="H296" s="151">
        <f>IF(ISERROR(H291/H286),"–",IF(ABS(H291/H286*100)&gt;NM,"–",H291/H286*100))</f>
        <v>16.941331575477918</v>
      </c>
      <c r="I296" s="151">
        <f>IF(ISERROR(I291/I286),"–",IF(ABS(I291/I286*100)&gt;NM,"–",I291/I286*100))</f>
        <v>5.625990491283677</v>
      </c>
      <c r="J296" s="151">
        <f>IF(ISERROR(J291/J286),"–",IF(ABS(J291/J286*100)&gt;NM,"–",J291/J286*100))</f>
        <v>-16.766981943250215</v>
      </c>
      <c r="K296" s="151">
        <f>IF(ISERROR(K291/K286),"–",IF(ABS(K291/K286*100)&gt;NM,"–",K291/K286*100))</f>
        <v>19.08150064683053</v>
      </c>
      <c r="L296" s="151" t="str">
        <f>IF(ISERROR(L291/L286),"–",IF(ABS(L291/L286*100)&gt;NM,"–",L291/L286*100))</f>
        <v>–</v>
      </c>
      <c r="M296" s="142"/>
      <c r="N296" s="151">
        <f>IF(ISERROR(N291/N286),"–",IF(ABS(N291/N286*100)&gt;NM,"–",N291/N286*100))</f>
        <v>8.106647450909746</v>
      </c>
      <c r="O296" s="151" t="str">
        <f>IF(ISERROR(O291/O286),"–",IF(ABS(O291/O286*100)&gt;NM,"–",O291/O286*100))</f>
        <v>–</v>
      </c>
      <c r="P296" s="151" t="str">
        <f>IF(ISERROR(P291/P286),"–",IF(ABS(P291/P286*100)&gt;NM,"–",P291/P286*100))</f>
        <v>–</v>
      </c>
      <c r="Q296" s="151" t="str">
        <f>IF(ISERROR(Q291/Q286),"–",IF(ABS(Q291/Q286*100)&gt;NM,"–",Q291/Q286*100))</f>
        <v>–</v>
      </c>
      <c r="R296" s="33"/>
      <c r="S296" s="45"/>
      <c r="T296" s="33"/>
      <c r="U296" s="4"/>
      <c r="V296" s="40"/>
      <c r="W296" s="13"/>
      <c r="X296" s="59"/>
      <c r="Y296" s="59"/>
      <c r="Z296" s="59"/>
      <c r="AA296" s="318"/>
      <c r="AB296" s="47"/>
    </row>
    <row r="297" spans="1:28" ht="12.75" customHeight="1">
      <c r="A297" s="1"/>
      <c r="B297" s="316"/>
      <c r="C297" s="6"/>
      <c r="D297" s="7"/>
      <c r="E297" s="7"/>
      <c r="F297" s="33"/>
      <c r="G297" s="8"/>
      <c r="H297" s="8"/>
      <c r="I297" s="8"/>
      <c r="J297" s="8"/>
      <c r="K297" s="8"/>
      <c r="L297" s="8"/>
      <c r="M297" s="142"/>
      <c r="N297" s="8"/>
      <c r="O297" s="8"/>
      <c r="P297" s="8"/>
      <c r="Q297" s="8"/>
      <c r="R297" s="33"/>
      <c r="S297" s="8"/>
      <c r="T297" s="33"/>
      <c r="U297" s="2"/>
      <c r="V297" s="25"/>
      <c r="W297" s="2"/>
      <c r="X297" s="2"/>
      <c r="Y297" s="2"/>
      <c r="Z297" s="2"/>
      <c r="AA297" s="318"/>
      <c r="AB297" s="47"/>
    </row>
    <row r="298" spans="1:28" ht="13.5" customHeight="1">
      <c r="A298" s="1"/>
      <c r="B298" s="316"/>
      <c r="C298" s="2"/>
      <c r="D298" s="2"/>
      <c r="E298" s="2"/>
      <c r="F298" s="25"/>
      <c r="G298" s="137"/>
      <c r="H298" s="137"/>
      <c r="I298" s="137"/>
      <c r="J298" s="137"/>
      <c r="K298" s="137"/>
      <c r="L298" s="136"/>
      <c r="M298" s="159"/>
      <c r="N298" s="137"/>
      <c r="O298" s="136"/>
      <c r="P298" s="136"/>
      <c r="Q298" s="136"/>
      <c r="R298" s="25"/>
      <c r="S298" s="2"/>
      <c r="T298" s="25"/>
      <c r="U298" s="2"/>
      <c r="V298" s="25"/>
      <c r="W298" s="2"/>
      <c r="X298" s="2"/>
      <c r="Y298" s="2"/>
      <c r="Z298" s="2"/>
      <c r="AA298" s="318"/>
      <c r="AB298" s="47"/>
    </row>
    <row r="299" spans="1:28" ht="13.5" customHeight="1">
      <c r="A299" s="1"/>
      <c r="B299" s="316"/>
      <c r="C299" s="3"/>
      <c r="D299" s="3" t="s">
        <v>160</v>
      </c>
      <c r="E299" s="3"/>
      <c r="F299" s="26"/>
      <c r="G299" s="140"/>
      <c r="H299" s="140"/>
      <c r="I299" s="140"/>
      <c r="J299" s="140"/>
      <c r="K299" s="140"/>
      <c r="L299" s="138"/>
      <c r="M299" s="139"/>
      <c r="N299" s="140"/>
      <c r="O299" s="138"/>
      <c r="P299" s="138"/>
      <c r="Q299" s="138"/>
      <c r="R299" s="26"/>
      <c r="S299" s="3"/>
      <c r="T299" s="26"/>
      <c r="U299" s="3"/>
      <c r="V299" s="26"/>
      <c r="W299" s="3"/>
      <c r="X299" s="3"/>
      <c r="Y299" s="3"/>
      <c r="Z299" s="3"/>
      <c r="AA299" s="318"/>
      <c r="AB299" s="47"/>
    </row>
    <row r="300" spans="1:28" s="207" customFormat="1" ht="13.5" customHeight="1">
      <c r="A300" s="1"/>
      <c r="B300" s="316"/>
      <c r="C300" s="4" t="str">
        <f>"GM – Assets under management – "&amp;D300</f>
        <v>GM – Assets under management – Risk-weighted assets – look-through (CHF million)</v>
      </c>
      <c r="D300" s="291" t="s">
        <v>162</v>
      </c>
      <c r="E300" s="292"/>
      <c r="F300" s="30"/>
      <c r="G300" s="281">
        <v>52061</v>
      </c>
      <c r="H300" s="281">
        <v>51333</v>
      </c>
      <c r="I300" s="281">
        <v>55993</v>
      </c>
      <c r="J300" s="281">
        <v>58858</v>
      </c>
      <c r="K300" s="281">
        <v>57990</v>
      </c>
      <c r="L300" s="141">
        <f>IF(L$27="No","–",IF(INDEX(CS_CONS_LINK_ARRAY,MATCH($C300,CS_CONS_LINK_COLUMN,0),MATCH(L$1,CS_CONS_LINK_ROW,0))="","",INDEX(CS_CONS_LINK_ARRAY,MATCH($C300,CS_CONS_LINK_COLUMN,0),MATCH(L$1,CS_CONS_LINK_ROW,0))))</f>
      </c>
      <c r="M300" s="156"/>
      <c r="N300" s="170">
        <v>58858</v>
      </c>
      <c r="O300" s="141">
        <f aca="true" t="shared" si="66" ref="O300:Q301">IF(O$27="No","–",IF(INDEX(CS_CONS_LINK_ARRAY,MATCH($C300,CS_CONS_LINK_COLUMN,0),MATCH(O$1,CS_CONS_LINK_ROW,0))="","",INDEX(CS_CONS_LINK_ARRAY,MATCH($C300,CS_CONS_LINK_COLUMN,0),MATCH(O$1,CS_CONS_LINK_ROW,0))))</f>
      </c>
      <c r="P300" s="141">
        <f t="shared" si="66"/>
      </c>
      <c r="Q300" s="141">
        <f t="shared" si="66"/>
      </c>
      <c r="R300" s="30"/>
      <c r="S300" s="45"/>
      <c r="T300" s="30"/>
      <c r="U300" s="237" t="s">
        <v>26</v>
      </c>
      <c r="V300" s="28"/>
      <c r="W300" s="238">
        <f>IF(L300="–",0,IF($U300="Positive Number",IF(OR(L300&lt;0,ISTEXT(L300),ISERROR(L300)),1,0),IF(OR(ISTEXT(L300),ISERROR(L300)),1,0)))</f>
        <v>1</v>
      </c>
      <c r="X300" s="239">
        <f>IF(O300="–",0,IF($U300="Positive Number",IF(OR(O300&lt;0,ISTEXT(O300),ISERROR(O300)),1,0),IF(OR(ISTEXT(O300),ISERROR(O300)),1,0)))</f>
        <v>1</v>
      </c>
      <c r="Y300" s="239">
        <f>IF(P300="–",0,IF($U300="Positive Number",IF(OR(P300&lt;0,ISTEXT(P300),ISERROR(P300)),1,0),IF(OR(ISTEXT(P300),ISERROR(P300)),1,0)))</f>
        <v>1</v>
      </c>
      <c r="Z300" s="239">
        <f>IF(Q300="–",0,IF($U300="Positive Number",IF(OR(Q300&lt;0,ISTEXT(Q300),ISERROR(Q300)),1,0),IF(OR(ISTEXT(Q300),ISERROR(Q300)),1,0)))</f>
        <v>1</v>
      </c>
      <c r="AA300" s="318"/>
      <c r="AB300" s="47"/>
    </row>
    <row r="301" spans="1:28" s="207" customFormat="1" ht="13.5" customHeight="1">
      <c r="A301" s="1"/>
      <c r="B301" s="316"/>
      <c r="C301" s="4" t="str">
        <f>"GM – Assets under management – "&amp;D301</f>
        <v>GM – Assets under management – Leverage exposure – look-through (CHF million)</v>
      </c>
      <c r="D301" s="78" t="s">
        <v>161</v>
      </c>
      <c r="E301" s="86"/>
      <c r="F301" s="30"/>
      <c r="G301" s="170">
        <v>287456</v>
      </c>
      <c r="H301" s="170">
        <v>276483</v>
      </c>
      <c r="I301" s="170">
        <v>281531</v>
      </c>
      <c r="J301" s="170">
        <v>283809</v>
      </c>
      <c r="K301" s="170">
        <v>282778</v>
      </c>
      <c r="L301" s="141">
        <f>IF(L$27="No","–",IF(INDEX(CS_CONS_LINK_ARRAY,MATCH($C301,CS_CONS_LINK_COLUMN,0),MATCH(L$1,CS_CONS_LINK_ROW,0))="","",INDEX(CS_CONS_LINK_ARRAY,MATCH($C301,CS_CONS_LINK_COLUMN,0),MATCH(L$1,CS_CONS_LINK_ROW,0))))</f>
      </c>
      <c r="M301" s="156"/>
      <c r="N301" s="170">
        <v>283809</v>
      </c>
      <c r="O301" s="141">
        <f t="shared" si="66"/>
      </c>
      <c r="P301" s="141">
        <f t="shared" si="66"/>
      </c>
      <c r="Q301" s="141">
        <f t="shared" si="66"/>
      </c>
      <c r="R301" s="30"/>
      <c r="S301" s="45"/>
      <c r="T301" s="30"/>
      <c r="U301" s="237"/>
      <c r="V301" s="30"/>
      <c r="W301" s="16"/>
      <c r="X301" s="61"/>
      <c r="Y301" s="61"/>
      <c r="Z301" s="61"/>
      <c r="AA301" s="318"/>
      <c r="AB301" s="47"/>
    </row>
    <row r="302" spans="1:28" ht="13.5" customHeight="1">
      <c r="A302" s="1"/>
      <c r="B302" s="320"/>
      <c r="C302" s="401"/>
      <c r="D302" s="402"/>
      <c r="E302" s="402"/>
      <c r="F302" s="377"/>
      <c r="G302" s="378"/>
      <c r="H302" s="378"/>
      <c r="I302" s="378"/>
      <c r="J302" s="378"/>
      <c r="K302" s="378"/>
      <c r="L302" s="378"/>
      <c r="M302" s="378"/>
      <c r="N302" s="378"/>
      <c r="O302" s="378"/>
      <c r="P302" s="378"/>
      <c r="Q302" s="378"/>
      <c r="R302" s="377"/>
      <c r="S302" s="377"/>
      <c r="T302" s="377"/>
      <c r="U302" s="267"/>
      <c r="V302" s="269"/>
      <c r="W302" s="269"/>
      <c r="X302" s="269"/>
      <c r="Y302" s="269"/>
      <c r="Z302" s="269"/>
      <c r="AA302" s="400"/>
      <c r="AB302" s="47"/>
    </row>
    <row r="303" spans="1:28" ht="27" customHeight="1">
      <c r="A303" s="1"/>
      <c r="B303" s="394"/>
      <c r="C303" s="380"/>
      <c r="D303" s="454" t="s">
        <v>149</v>
      </c>
      <c r="E303" s="328"/>
      <c r="F303" s="381"/>
      <c r="G303" s="381"/>
      <c r="H303" s="381"/>
      <c r="I303" s="381"/>
      <c r="J303" s="381"/>
      <c r="K303" s="381"/>
      <c r="L303" s="382"/>
      <c r="M303" s="382"/>
      <c r="N303" s="382"/>
      <c r="O303" s="382"/>
      <c r="P303" s="382"/>
      <c r="Q303" s="382"/>
      <c r="R303" s="381"/>
      <c r="S303" s="381"/>
      <c r="T303" s="381"/>
      <c r="U303" s="380"/>
      <c r="V303" s="381"/>
      <c r="W303" s="381"/>
      <c r="X303" s="381"/>
      <c r="Y303" s="381"/>
      <c r="Z303" s="381"/>
      <c r="AA303" s="383"/>
      <c r="AB303" s="47"/>
    </row>
    <row r="304" spans="1:28" ht="13.5" customHeight="1">
      <c r="A304" s="1"/>
      <c r="B304" s="395"/>
      <c r="C304" s="2"/>
      <c r="D304" s="2"/>
      <c r="E304" s="2"/>
      <c r="F304" s="2"/>
      <c r="G304" s="102"/>
      <c r="H304" s="102"/>
      <c r="I304" s="102"/>
      <c r="J304" s="102"/>
      <c r="K304" s="102"/>
      <c r="L304" s="136"/>
      <c r="M304" s="136"/>
      <c r="N304" s="137"/>
      <c r="O304" s="136"/>
      <c r="P304" s="136"/>
      <c r="Q304" s="136"/>
      <c r="R304" s="2"/>
      <c r="S304" s="2"/>
      <c r="T304" s="2"/>
      <c r="U304" s="2"/>
      <c r="V304" s="2"/>
      <c r="W304" s="2"/>
      <c r="X304" s="2"/>
      <c r="Y304" s="2"/>
      <c r="Z304" s="2"/>
      <c r="AA304" s="395"/>
      <c r="AB304" s="47"/>
    </row>
    <row r="305" spans="1:28" ht="13.5" customHeight="1">
      <c r="A305" s="1"/>
      <c r="B305" s="396"/>
      <c r="C305" s="3"/>
      <c r="D305" s="3" t="s">
        <v>0</v>
      </c>
      <c r="E305" s="3"/>
      <c r="F305" s="26"/>
      <c r="G305" s="103"/>
      <c r="H305" s="103"/>
      <c r="I305" s="103"/>
      <c r="J305" s="103"/>
      <c r="K305" s="103"/>
      <c r="L305" s="138"/>
      <c r="M305" s="139"/>
      <c r="N305" s="140"/>
      <c r="O305" s="138"/>
      <c r="P305" s="138"/>
      <c r="Q305" s="138"/>
      <c r="R305" s="26"/>
      <c r="S305" s="3"/>
      <c r="T305" s="26"/>
      <c r="U305" s="3"/>
      <c r="V305" s="26"/>
      <c r="W305" s="3"/>
      <c r="X305" s="3"/>
      <c r="Y305" s="3"/>
      <c r="Z305" s="3"/>
      <c r="AA305" s="395"/>
      <c r="AB305" s="47"/>
    </row>
    <row r="306" spans="1:28" ht="13.5" customHeight="1">
      <c r="A306" s="1"/>
      <c r="B306" s="396"/>
      <c r="C306" s="4" t="str">
        <f aca="true" t="shared" si="67" ref="C306:C317">"IBCM – Income statement – "&amp;D306</f>
        <v>IBCM – Income statement – Debt underwriting</v>
      </c>
      <c r="D306" s="81" t="s">
        <v>2</v>
      </c>
      <c r="E306" s="90"/>
      <c r="F306" s="33"/>
      <c r="G306" s="170">
        <v>291</v>
      </c>
      <c r="H306" s="170">
        <v>257</v>
      </c>
      <c r="I306" s="170">
        <v>233</v>
      </c>
      <c r="J306" s="170">
        <v>249</v>
      </c>
      <c r="K306" s="170">
        <v>256</v>
      </c>
      <c r="L306" s="141">
        <f>IF(L$27="No","–",IF(INDEX(CS_CONS_LINK_ARRAY,MATCH($C306,CS_CONS_LINK_COLUMN,0),MATCH(L$1,CS_CONS_LINK_ROW,0))="","",INDEX(CS_CONS_LINK_ARRAY,MATCH($C306,CS_CONS_LINK_COLUMN,0),MATCH(L$1,CS_CONS_LINK_ROW,0))))</f>
      </c>
      <c r="M306" s="142"/>
      <c r="N306" s="170">
        <v>1030</v>
      </c>
      <c r="O306" s="141">
        <f aca="true" t="shared" si="68" ref="O306:Q307">IF(O$27="No","–",IF(INDEX(CS_CONS_LINK_ARRAY,MATCH($C306,CS_CONS_LINK_COLUMN,0),MATCH(O$1,CS_CONS_LINK_ROW,0))="","",INDEX(CS_CONS_LINK_ARRAY,MATCH($C306,CS_CONS_LINK_COLUMN,0),MATCH(O$1,CS_CONS_LINK_ROW,0))))</f>
      </c>
      <c r="P306" s="141">
        <f t="shared" si="68"/>
      </c>
      <c r="Q306" s="141">
        <f t="shared" si="68"/>
      </c>
      <c r="R306" s="33"/>
      <c r="S306" s="45"/>
      <c r="T306" s="33"/>
      <c r="U306" s="38" t="s">
        <v>25</v>
      </c>
      <c r="V306" s="33"/>
      <c r="W306" s="37">
        <f>IF(L306="–",0,IF($U306="Positive Number",IF(OR(L306&lt;0,ISTEXT(L306),ISERROR(L306)),1,0),IF(OR(ISTEXT(L306),ISERROR(L306)),1,0)))</f>
        <v>1</v>
      </c>
      <c r="X306" s="57">
        <f aca="true" t="shared" si="69" ref="X306:Z307">IF(O306="–",0,IF($U306="Positive Number",IF(OR(O306&lt;0,ISTEXT(O306),ISERROR(O306)),1,0),IF(OR(ISTEXT(O306),ISERROR(O306)),1,0)))</f>
        <v>1</v>
      </c>
      <c r="Y306" s="57">
        <f t="shared" si="69"/>
        <v>1</v>
      </c>
      <c r="Z306" s="57">
        <f t="shared" si="69"/>
        <v>1</v>
      </c>
      <c r="AA306" s="395"/>
      <c r="AB306" s="47"/>
    </row>
    <row r="307" spans="1:28" ht="13.5" customHeight="1">
      <c r="A307" s="1"/>
      <c r="B307" s="396"/>
      <c r="C307" s="4" t="str">
        <f t="shared" si="67"/>
        <v>IBCM – Income statement – Equity underwriting</v>
      </c>
      <c r="D307" s="81" t="s">
        <v>3</v>
      </c>
      <c r="E307" s="90"/>
      <c r="F307" s="33"/>
      <c r="G307" s="170">
        <v>103</v>
      </c>
      <c r="H307" s="170">
        <v>105</v>
      </c>
      <c r="I307" s="170">
        <v>65</v>
      </c>
      <c r="J307" s="170">
        <v>113</v>
      </c>
      <c r="K307" s="170">
        <v>103</v>
      </c>
      <c r="L307" s="141">
        <f>IF(L$27="No","–",IF(INDEX(CS_CONS_LINK_ARRAY,MATCH($C307,CS_CONS_LINK_COLUMN,0),MATCH(L$1,CS_CONS_LINK_ROW,0))="","",INDEX(CS_CONS_LINK_ARRAY,MATCH($C307,CS_CONS_LINK_COLUMN,0),MATCH(L$1,CS_CONS_LINK_ROW,0))))</f>
      </c>
      <c r="M307" s="142"/>
      <c r="N307" s="170">
        <v>386</v>
      </c>
      <c r="O307" s="141">
        <f t="shared" si="68"/>
      </c>
      <c r="P307" s="141">
        <f t="shared" si="68"/>
      </c>
      <c r="Q307" s="141">
        <f t="shared" si="68"/>
      </c>
      <c r="R307" s="33"/>
      <c r="S307" s="45"/>
      <c r="T307" s="33"/>
      <c r="U307" s="38" t="s">
        <v>25</v>
      </c>
      <c r="V307" s="33"/>
      <c r="W307" s="37">
        <f>IF(L307="–",0,IF($U307="Positive Number",IF(OR(L307&lt;0,ISTEXT(L307),ISERROR(L307)),1,0),IF(OR(ISTEXT(L307),ISERROR(L307)),1,0)))</f>
        <v>1</v>
      </c>
      <c r="X307" s="57">
        <f t="shared" si="69"/>
        <v>1</v>
      </c>
      <c r="Y307" s="57">
        <f t="shared" si="69"/>
        <v>1</v>
      </c>
      <c r="Z307" s="57">
        <f t="shared" si="69"/>
        <v>1</v>
      </c>
      <c r="AA307" s="395"/>
      <c r="AB307" s="47"/>
    </row>
    <row r="308" spans="1:28" ht="13.5" customHeight="1">
      <c r="A308" s="1"/>
      <c r="B308" s="396"/>
      <c r="C308" s="4" t="str">
        <f t="shared" si="67"/>
        <v>IBCM – Income statement – Total underwriting</v>
      </c>
      <c r="D308" s="75" t="s">
        <v>196</v>
      </c>
      <c r="E308" s="84"/>
      <c r="F308" s="33"/>
      <c r="G308" s="146">
        <f>IF(ISERROR(G306+G307),"–",G306+G307)</f>
        <v>394</v>
      </c>
      <c r="H308" s="146">
        <f>IF(ISERROR(H306+H307),"–",H306+H307)</f>
        <v>362</v>
      </c>
      <c r="I308" s="146">
        <f>IF(ISERROR(I306+I307),"–",I306+I307)</f>
        <v>298</v>
      </c>
      <c r="J308" s="146">
        <f>IF(ISERROR(J306+J307),"–",J306+J307)</f>
        <v>362</v>
      </c>
      <c r="K308" s="146">
        <f>IF(ISERROR(K306+K307),"–",K306+K307)</f>
        <v>359</v>
      </c>
      <c r="L308" s="146" t="str">
        <f>IF(ISERROR(L306+L307),"–",L306+L307)</f>
        <v>–</v>
      </c>
      <c r="M308" s="161"/>
      <c r="N308" s="146">
        <f>IF(ISERROR(N306+N307),"–",N306+N307)</f>
        <v>1416</v>
      </c>
      <c r="O308" s="146" t="str">
        <f>IF(ISERROR(O306+O307),"–",O306+O307)</f>
        <v>–</v>
      </c>
      <c r="P308" s="146" t="str">
        <f>IF(ISERROR(P306+P307),"–",P306+P307)</f>
        <v>–</v>
      </c>
      <c r="Q308" s="146" t="str">
        <f>IF(ISERROR(Q306+Q307),"–",Q306+Q307)</f>
        <v>–</v>
      </c>
      <c r="R308" s="33"/>
      <c r="S308" s="45"/>
      <c r="T308" s="33"/>
      <c r="U308" s="4"/>
      <c r="V308" s="33"/>
      <c r="W308" s="9"/>
      <c r="X308" s="56"/>
      <c r="Y308" s="56"/>
      <c r="Z308" s="56"/>
      <c r="AA308" s="395"/>
      <c r="AB308" s="47"/>
    </row>
    <row r="309" spans="1:28" ht="13.5" customHeight="1">
      <c r="A309" s="1"/>
      <c r="B309" s="396"/>
      <c r="C309" s="4" t="str">
        <f t="shared" si="67"/>
        <v>IBCM – Income statement – Advisory and other fees</v>
      </c>
      <c r="D309" s="81" t="s">
        <v>4</v>
      </c>
      <c r="E309" s="90"/>
      <c r="F309" s="33"/>
      <c r="G309" s="170">
        <v>218</v>
      </c>
      <c r="H309" s="170">
        <v>166</v>
      </c>
      <c r="I309" s="170">
        <v>180</v>
      </c>
      <c r="J309" s="170">
        <v>206</v>
      </c>
      <c r="K309" s="170">
        <v>172</v>
      </c>
      <c r="L309" s="141">
        <f>IF(L$27="No","–",IF(INDEX(CS_CONS_LINK_ARRAY,MATCH($C309,CS_CONS_LINK_COLUMN,0),MATCH(L$1,CS_CONS_LINK_ROW,0))="","",INDEX(CS_CONS_LINK_ARRAY,MATCH($C309,CS_CONS_LINK_COLUMN,0),MATCH(L$1,CS_CONS_LINK_ROW,0))))</f>
      </c>
      <c r="M309" s="142"/>
      <c r="N309" s="170">
        <v>770</v>
      </c>
      <c r="O309" s="141">
        <f>IF(O$27="No","–",IF(INDEX(CS_CONS_LINK_ARRAY,MATCH($C309,CS_CONS_LINK_COLUMN,0),MATCH(O$1,CS_CONS_LINK_ROW,0))="","",INDEX(CS_CONS_LINK_ARRAY,MATCH($C309,CS_CONS_LINK_COLUMN,0),MATCH(O$1,CS_CONS_LINK_ROW,0))))</f>
      </c>
      <c r="P309" s="141">
        <f>IF(P$27="No","–",IF(INDEX(CS_CONS_LINK_ARRAY,MATCH($C309,CS_CONS_LINK_COLUMN,0),MATCH(P$1,CS_CONS_LINK_ROW,0))="","",INDEX(CS_CONS_LINK_ARRAY,MATCH($C309,CS_CONS_LINK_COLUMN,0),MATCH(P$1,CS_CONS_LINK_ROW,0))))</f>
      </c>
      <c r="Q309" s="141">
        <f>IF(Q$27="No","–",IF(INDEX(CS_CONS_LINK_ARRAY,MATCH($C309,CS_CONS_LINK_COLUMN,0),MATCH(Q$1,CS_CONS_LINK_ROW,0))="","",INDEX(CS_CONS_LINK_ARRAY,MATCH($C309,CS_CONS_LINK_COLUMN,0),MATCH(Q$1,CS_CONS_LINK_ROW,0))))</f>
      </c>
      <c r="R309" s="33"/>
      <c r="S309" s="45"/>
      <c r="T309" s="33"/>
      <c r="U309" s="38" t="s">
        <v>25</v>
      </c>
      <c r="V309" s="33"/>
      <c r="W309" s="37">
        <f>IF(L309="–",0,IF($U309="Positive Number",IF(OR(L309&lt;0,ISTEXT(L309),ISERROR(L309)),1,0),IF(OR(ISTEXT(L309),ISERROR(L309)),1,0)))</f>
        <v>1</v>
      </c>
      <c r="X309" s="57">
        <f>IF(O309="–",0,IF($U309="Positive Number",IF(OR(O309&lt;0,ISTEXT(O309),ISERROR(O309)),1,0),IF(OR(ISTEXT(O309),ISERROR(O309)),1,0)))</f>
        <v>1</v>
      </c>
      <c r="Y309" s="57">
        <f>IF(P309="–",0,IF($U309="Positive Number",IF(OR(P309&lt;0,ISTEXT(P309),ISERROR(P309)),1,0),IF(OR(ISTEXT(P309),ISERROR(P309)),1,0)))</f>
        <v>1</v>
      </c>
      <c r="Z309" s="57">
        <f>IF(Q309="–",0,IF($U309="Positive Number",IF(OR(Q309&lt;0,ISTEXT(Q309),ISERROR(Q309)),1,0),IF(OR(ISTEXT(Q309),ISERROR(Q309)),1,0)))</f>
        <v>1</v>
      </c>
      <c r="AA309" s="395"/>
      <c r="AB309" s="47"/>
    </row>
    <row r="310" spans="1:28" ht="13.5" customHeight="1">
      <c r="A310" s="1"/>
      <c r="B310" s="396"/>
      <c r="C310" s="4" t="str">
        <f t="shared" si="67"/>
        <v>IBCM – Income statement – Total underwriting and advisory</v>
      </c>
      <c r="D310" s="75" t="s">
        <v>197</v>
      </c>
      <c r="E310" s="83"/>
      <c r="F310" s="33"/>
      <c r="G310" s="145">
        <f>IF(ISERROR(G308+G309),"–",G308+G309)</f>
        <v>612</v>
      </c>
      <c r="H310" s="145">
        <f>IF(ISERROR(H308+H309),"–",H308+H309)</f>
        <v>528</v>
      </c>
      <c r="I310" s="145">
        <f>IF(ISERROR(I308+I309),"–",I308+I309)</f>
        <v>478</v>
      </c>
      <c r="J310" s="145">
        <f>IF(ISERROR(J308+J309),"–",J308+J309)</f>
        <v>568</v>
      </c>
      <c r="K310" s="145">
        <f>IF(ISERROR(K308+K309),"–",K308+K309)</f>
        <v>531</v>
      </c>
      <c r="L310" s="145" t="str">
        <f>IF(ISERROR(L308+L309),"–",L308+L309)</f>
        <v>–</v>
      </c>
      <c r="M310" s="142"/>
      <c r="N310" s="145">
        <f>IF(ISERROR(N308+N309),"–",N308+N309)</f>
        <v>2186</v>
      </c>
      <c r="O310" s="145" t="str">
        <f>IF(ISERROR(O308+O309),"–",O308+O309)</f>
        <v>–</v>
      </c>
      <c r="P310" s="145" t="str">
        <f>IF(ISERROR(P308+P309),"–",P308+P309)</f>
        <v>–</v>
      </c>
      <c r="Q310" s="145" t="str">
        <f>IF(ISERROR(Q308+Q309),"–",Q308+Q309)</f>
        <v>–</v>
      </c>
      <c r="R310" s="33"/>
      <c r="S310" s="45"/>
      <c r="T310" s="33"/>
      <c r="U310" s="4"/>
      <c r="V310" s="33"/>
      <c r="W310" s="5"/>
      <c r="X310" s="54"/>
      <c r="Y310" s="54"/>
      <c r="Z310" s="54"/>
      <c r="AA310" s="395"/>
      <c r="AB310" s="47"/>
    </row>
    <row r="311" spans="1:28" ht="13.5" customHeight="1">
      <c r="A311" s="1"/>
      <c r="B311" s="396"/>
      <c r="C311" s="4" t="str">
        <f t="shared" si="67"/>
        <v>IBCM – Income statement – Other</v>
      </c>
      <c r="D311" s="76" t="s">
        <v>195</v>
      </c>
      <c r="E311" s="84"/>
      <c r="F311" s="33"/>
      <c r="G311" s="170">
        <v>-6</v>
      </c>
      <c r="H311" s="170">
        <v>-17</v>
      </c>
      <c r="I311" s="170">
        <v>-21</v>
      </c>
      <c r="J311" s="170">
        <v>-3</v>
      </c>
      <c r="K311" s="170">
        <v>-3</v>
      </c>
      <c r="L311" s="141">
        <f>IF(L$27="No","–",IF(INDEX(CS_CONS_LINK_ARRAY,MATCH($C311,CS_CONS_LINK_COLUMN,0),MATCH(L$1,CS_CONS_LINK_ROW,0))="","",INDEX(CS_CONS_LINK_ARRAY,MATCH($C311,CS_CONS_LINK_COLUMN,0),MATCH(L$1,CS_CONS_LINK_ROW,0))))</f>
      </c>
      <c r="M311" s="142"/>
      <c r="N311" s="170">
        <v>-47</v>
      </c>
      <c r="O311" s="141">
        <f>IF(O$27="No","–",IF(INDEX(CS_CONS_LINK_ARRAY,MATCH($C311,CS_CONS_LINK_COLUMN,0),MATCH(O$1,CS_CONS_LINK_ROW,0))="","",INDEX(CS_CONS_LINK_ARRAY,MATCH($C311,CS_CONS_LINK_COLUMN,0),MATCH(O$1,CS_CONS_LINK_ROW,0))))</f>
      </c>
      <c r="P311" s="141">
        <f>IF(P$27="No","–",IF(INDEX(CS_CONS_LINK_ARRAY,MATCH($C311,CS_CONS_LINK_COLUMN,0),MATCH(P$1,CS_CONS_LINK_ROW,0))="","",INDEX(CS_CONS_LINK_ARRAY,MATCH($C311,CS_CONS_LINK_COLUMN,0),MATCH(P$1,CS_CONS_LINK_ROW,0))))</f>
      </c>
      <c r="Q311" s="141">
        <f>IF(Q$27="No","–",IF(INDEX(CS_CONS_LINK_ARRAY,MATCH($C311,CS_CONS_LINK_COLUMN,0),MATCH(Q$1,CS_CONS_LINK_ROW,0))="","",INDEX(CS_CONS_LINK_ARRAY,MATCH($C311,CS_CONS_LINK_COLUMN,0),MATCH(Q$1,CS_CONS_LINK_ROW,0))))</f>
      </c>
      <c r="R311" s="33"/>
      <c r="S311" s="45"/>
      <c r="T311" s="33"/>
      <c r="U311" s="38" t="s">
        <v>26</v>
      </c>
      <c r="V311" s="33"/>
      <c r="W311" s="37">
        <f>IF(L311="–",0,IF($U311="Positive Number",IF(OR(L311&lt;0,ISTEXT(L311),ISERROR(L311)),1,0),IF(OR(ISTEXT(L311),ISERROR(L311)),1,0)))</f>
        <v>1</v>
      </c>
      <c r="X311" s="57">
        <f>IF(O311="–",0,IF($U311="Positive Number",IF(OR(O311&lt;0,ISTEXT(O311),ISERROR(O311)),1,0),IF(OR(ISTEXT(O311),ISERROR(O311)),1,0)))</f>
        <v>1</v>
      </c>
      <c r="Y311" s="57">
        <f>IF(P311="–",0,IF($U311="Positive Number",IF(OR(P311&lt;0,ISTEXT(P311),ISERROR(P311)),1,0),IF(OR(ISTEXT(P311),ISERROR(P311)),1,0)))</f>
        <v>1</v>
      </c>
      <c r="Z311" s="57">
        <f>IF(Q311="–",0,IF($U311="Positive Number",IF(OR(Q311&lt;0,ISTEXT(Q311),ISERROR(Q311)),1,0),IF(OR(ISTEXT(Q311),ISERROR(Q311)),1,0)))</f>
        <v>1</v>
      </c>
      <c r="AA311" s="395"/>
      <c r="AB311" s="47"/>
    </row>
    <row r="312" spans="1:28" ht="13.5" customHeight="1">
      <c r="A312" s="1"/>
      <c r="B312" s="396"/>
      <c r="C312" s="4" t="str">
        <f t="shared" si="67"/>
        <v>IBCM – Income statement – Net revenues</v>
      </c>
      <c r="D312" s="75" t="s">
        <v>1</v>
      </c>
      <c r="E312" s="84"/>
      <c r="F312" s="33"/>
      <c r="G312" s="145">
        <f>IF(ISERROR(G310+G311),"–",G310+G311)</f>
        <v>606</v>
      </c>
      <c r="H312" s="145">
        <f>IF(ISERROR(H310+H311),"–",H310+H311)</f>
        <v>511</v>
      </c>
      <c r="I312" s="145">
        <f>IF(ISERROR(I310+I311),"–",I310+I311)</f>
        <v>457</v>
      </c>
      <c r="J312" s="145">
        <f>IF(ISERROR(J310+J311),"–",J310+J311)</f>
        <v>565</v>
      </c>
      <c r="K312" s="145">
        <f>IF(ISERROR(K310+K311),"–",K310+K311)</f>
        <v>528</v>
      </c>
      <c r="L312" s="145" t="str">
        <f>IF(ISERROR(L310+L311),"–",L310+L311)</f>
        <v>–</v>
      </c>
      <c r="M312" s="142"/>
      <c r="N312" s="145">
        <f>IF(ISERROR(N310+N311),"–",N310+N311)</f>
        <v>2139</v>
      </c>
      <c r="O312" s="145" t="str">
        <f>IF(ISERROR(O310+O311),"–",O310+O311)</f>
        <v>–</v>
      </c>
      <c r="P312" s="145" t="str">
        <f>IF(ISERROR(P310+P311),"–",P310+P311)</f>
        <v>–</v>
      </c>
      <c r="Q312" s="145" t="str">
        <f>IF(ISERROR(Q310+Q311),"–",Q310+Q311)</f>
        <v>–</v>
      </c>
      <c r="R312" s="33"/>
      <c r="S312" s="45"/>
      <c r="T312" s="33"/>
      <c r="U312" s="4"/>
      <c r="V312" s="33"/>
      <c r="W312" s="5"/>
      <c r="X312" s="54"/>
      <c r="Y312" s="54"/>
      <c r="Z312" s="54"/>
      <c r="AA312" s="395"/>
      <c r="AB312" s="47"/>
    </row>
    <row r="313" spans="1:28" ht="13.5" customHeight="1">
      <c r="A313" s="10"/>
      <c r="B313" s="397"/>
      <c r="C313" s="4" t="str">
        <f t="shared" si="67"/>
        <v>IBCM – Income statement – Provision for credit losses</v>
      </c>
      <c r="D313" s="288" t="s">
        <v>5</v>
      </c>
      <c r="E313" s="289"/>
      <c r="F313" s="33"/>
      <c r="G313" s="275">
        <v>6</v>
      </c>
      <c r="H313" s="275">
        <v>13</v>
      </c>
      <c r="I313" s="275">
        <v>12</v>
      </c>
      <c r="J313" s="275">
        <v>-1</v>
      </c>
      <c r="K313" s="275">
        <v>1</v>
      </c>
      <c r="L313" s="147">
        <f>IF(L$27="No","–",IF(INDEX(CS_CONS_LINK_ARRAY,MATCH($C313,CS_CONS_LINK_COLUMN,0),MATCH(L$1,CS_CONS_LINK_ROW,0))="","",INDEX(CS_CONS_LINK_ARRAY,MATCH($C313,CS_CONS_LINK_COLUMN,0),MATCH(L$1,CS_CONS_LINK_ROW,0))))</f>
      </c>
      <c r="M313" s="142"/>
      <c r="N313" s="148">
        <v>30</v>
      </c>
      <c r="O313" s="147">
        <f aca="true" t="shared" si="70" ref="O313:Q315">IF(O$27="No","–",IF(INDEX(CS_CONS_LINK_ARRAY,MATCH($C313,CS_CONS_LINK_COLUMN,0),MATCH(O$1,CS_CONS_LINK_ROW,0))="","",INDEX(CS_CONS_LINK_ARRAY,MATCH($C313,CS_CONS_LINK_COLUMN,0),MATCH(O$1,CS_CONS_LINK_ROW,0))))</f>
      </c>
      <c r="P313" s="147">
        <f t="shared" si="70"/>
      </c>
      <c r="Q313" s="147">
        <f t="shared" si="70"/>
      </c>
      <c r="R313" s="33"/>
      <c r="S313" s="45"/>
      <c r="T313" s="33"/>
      <c r="U313" s="38" t="s">
        <v>26</v>
      </c>
      <c r="V313" s="33"/>
      <c r="W313" s="37">
        <f>IF(L313="–",0,IF($U313="Positive Number",IF(OR(L313&lt;0,ISTEXT(L313),ISERROR(L313)),1,0),IF(OR(ISTEXT(L313),ISERROR(L313)),1,0)))</f>
        <v>1</v>
      </c>
      <c r="X313" s="57">
        <f aca="true" t="shared" si="71" ref="X313:Z315">IF(O313="–",0,IF($U313="Positive Number",IF(OR(O313&lt;0,ISTEXT(O313),ISERROR(O313)),1,0),IF(OR(ISTEXT(O313),ISERROR(O313)),1,0)))</f>
        <v>1</v>
      </c>
      <c r="Y313" s="57">
        <f t="shared" si="71"/>
        <v>1</v>
      </c>
      <c r="Z313" s="57">
        <f t="shared" si="71"/>
        <v>1</v>
      </c>
      <c r="AA313" s="403"/>
      <c r="AB313" s="47"/>
    </row>
    <row r="314" spans="1:28" ht="13.5" customHeight="1">
      <c r="A314" s="1"/>
      <c r="B314" s="396"/>
      <c r="C314" s="4" t="str">
        <f t="shared" si="67"/>
        <v>IBCM – Income statement – Compensation and benefits</v>
      </c>
      <c r="D314" s="218" t="s">
        <v>6</v>
      </c>
      <c r="E314" s="290"/>
      <c r="F314" s="33"/>
      <c r="G314" s="273">
        <v>348</v>
      </c>
      <c r="H314" s="273">
        <v>303</v>
      </c>
      <c r="I314" s="273">
        <v>293</v>
      </c>
      <c r="J314" s="273">
        <v>324</v>
      </c>
      <c r="K314" s="273">
        <v>316</v>
      </c>
      <c r="L314" s="141">
        <f>IF(L$27="No","–",IF(INDEX(CS_CONS_LINK_ARRAY,MATCH($C314,CS_CONS_LINK_COLUMN,0),MATCH(L$1,CS_CONS_LINK_ROW,0))="","",INDEX(CS_CONS_LINK_ARRAY,MATCH($C314,CS_CONS_LINK_COLUMN,0),MATCH(L$1,CS_CONS_LINK_ROW,0))))</f>
      </c>
      <c r="M314" s="142"/>
      <c r="N314" s="143">
        <v>1268</v>
      </c>
      <c r="O314" s="141">
        <f t="shared" si="70"/>
      </c>
      <c r="P314" s="141">
        <f t="shared" si="70"/>
      </c>
      <c r="Q314" s="141">
        <f t="shared" si="70"/>
      </c>
      <c r="R314" s="33"/>
      <c r="S314" s="45"/>
      <c r="T314" s="33"/>
      <c r="U314" s="38" t="s">
        <v>25</v>
      </c>
      <c r="V314" s="33"/>
      <c r="W314" s="37">
        <f>IF(L314="–",0,IF($U314="Positive Number",IF(OR(L314&lt;0,ISTEXT(L314),ISERROR(L314)),1,0),IF(OR(ISTEXT(L314),ISERROR(L314)),1,0)))</f>
        <v>1</v>
      </c>
      <c r="X314" s="57">
        <f t="shared" si="71"/>
        <v>1</v>
      </c>
      <c r="Y314" s="57">
        <f t="shared" si="71"/>
        <v>1</v>
      </c>
      <c r="Z314" s="57">
        <f t="shared" si="71"/>
        <v>1</v>
      </c>
      <c r="AA314" s="395"/>
      <c r="AB314" s="47"/>
    </row>
    <row r="315" spans="1:28" ht="13.5" customHeight="1">
      <c r="A315" s="1"/>
      <c r="B315" s="396"/>
      <c r="C315" s="4" t="str">
        <f t="shared" si="67"/>
        <v>IBCM – Income statement – Total other operating expenses</v>
      </c>
      <c r="D315" s="218" t="s">
        <v>137</v>
      </c>
      <c r="E315" s="290"/>
      <c r="F315" s="33"/>
      <c r="G315" s="273">
        <v>103</v>
      </c>
      <c r="H315" s="273">
        <v>117</v>
      </c>
      <c r="I315" s="273">
        <v>117</v>
      </c>
      <c r="J315" s="273">
        <v>135</v>
      </c>
      <c r="K315" s="273">
        <v>152</v>
      </c>
      <c r="L315" s="141">
        <f>IF(L$27="No","–",IF(INDEX(CS_CONS_LINK_ARRAY,MATCH($C315,CS_CONS_LINK_COLUMN,0),MATCH(L$1,CS_CONS_LINK_ROW,0))="","",INDEX(CS_CONS_LINK_ARRAY,MATCH($C315,CS_CONS_LINK_COLUMN,0),MATCH(L$1,CS_CONS_LINK_ROW,0))))</f>
      </c>
      <c r="M315" s="142"/>
      <c r="N315" s="143">
        <v>472</v>
      </c>
      <c r="O315" s="141">
        <f t="shared" si="70"/>
      </c>
      <c r="P315" s="141">
        <f t="shared" si="70"/>
      </c>
      <c r="Q315" s="141">
        <f t="shared" si="70"/>
      </c>
      <c r="R315" s="33"/>
      <c r="S315" s="45"/>
      <c r="T315" s="33"/>
      <c r="U315" s="38" t="s">
        <v>25</v>
      </c>
      <c r="V315" s="33"/>
      <c r="W315" s="37">
        <f>IF(L315="–",0,IF($U315="Positive Number",IF(OR(L315&lt;0,ISTEXT(L315),ISERROR(L315)),1,0),IF(OR(ISTEXT(L315),ISERROR(L315)),1,0)))</f>
        <v>1</v>
      </c>
      <c r="X315" s="57">
        <f t="shared" si="71"/>
        <v>1</v>
      </c>
      <c r="Y315" s="57">
        <f t="shared" si="71"/>
        <v>1</v>
      </c>
      <c r="Z315" s="57">
        <f t="shared" si="71"/>
        <v>1</v>
      </c>
      <c r="AA315" s="395"/>
      <c r="AB315" s="47"/>
    </row>
    <row r="316" spans="1:28" ht="13.5" customHeight="1">
      <c r="A316" s="1"/>
      <c r="B316" s="396"/>
      <c r="C316" s="4" t="str">
        <f t="shared" si="67"/>
        <v>IBCM – Income statement – Total operating expenses</v>
      </c>
      <c r="D316" s="75" t="s">
        <v>7</v>
      </c>
      <c r="E316" s="83"/>
      <c r="F316" s="33"/>
      <c r="G316" s="146">
        <f>IF(ISERROR(G314+G315),"–",G314+G315)</f>
        <v>451</v>
      </c>
      <c r="H316" s="146">
        <f>IF(ISERROR(H314+H315),"–",H314+H315)</f>
        <v>420</v>
      </c>
      <c r="I316" s="146">
        <f>IF(ISERROR(I314+I315),"–",I314+I315)</f>
        <v>410</v>
      </c>
      <c r="J316" s="146">
        <f>IF(ISERROR(J314+J315),"–",J314+J315)</f>
        <v>459</v>
      </c>
      <c r="K316" s="146">
        <f>IF(ISERROR(K314+K315),"–",K314+K315)</f>
        <v>468</v>
      </c>
      <c r="L316" s="146" t="str">
        <f>IF(ISERROR(L314+L315),"–",L314+L315)</f>
        <v>–</v>
      </c>
      <c r="M316" s="142"/>
      <c r="N316" s="146">
        <f>IF(ISERROR(N314+N315),"–",N314+N315)</f>
        <v>1740</v>
      </c>
      <c r="O316" s="146" t="str">
        <f>IF(ISERROR(O314+O315),"–",O314+O315)</f>
        <v>–</v>
      </c>
      <c r="P316" s="146" t="str">
        <f>IF(ISERROR(P314+P315),"–",P314+P315)</f>
        <v>–</v>
      </c>
      <c r="Q316" s="146" t="str">
        <f>IF(ISERROR(Q314+Q315),"–",Q314+Q315)</f>
        <v>–</v>
      </c>
      <c r="R316" s="33"/>
      <c r="S316" s="45"/>
      <c r="T316" s="33"/>
      <c r="U316" s="4"/>
      <c r="V316" s="33"/>
      <c r="W316" s="5"/>
      <c r="X316" s="54"/>
      <c r="Y316" s="54"/>
      <c r="Z316" s="54"/>
      <c r="AA316" s="395"/>
      <c r="AB316" s="47"/>
    </row>
    <row r="317" spans="1:28" ht="13.5" customHeight="1">
      <c r="A317" s="1"/>
      <c r="B317" s="396"/>
      <c r="C317" s="4" t="str">
        <f t="shared" si="67"/>
        <v>IBCM – Income statement – Income from continuing operations before taxes</v>
      </c>
      <c r="D317" s="75" t="s">
        <v>8</v>
      </c>
      <c r="E317" s="83"/>
      <c r="F317" s="33"/>
      <c r="G317" s="145">
        <f>IF(ISERROR(G312-G313-G316),"–",G312-G313-G316)</f>
        <v>149</v>
      </c>
      <c r="H317" s="145">
        <f>IF(ISERROR(H312-H313-H316),"–",H312-H313-H316)</f>
        <v>78</v>
      </c>
      <c r="I317" s="145">
        <f>IF(ISERROR(I312-I313-I316),"–",I312-I313-I316)</f>
        <v>35</v>
      </c>
      <c r="J317" s="145">
        <f>IF(ISERROR(J312-J313-J316),"–",J312-J313-J316)</f>
        <v>107</v>
      </c>
      <c r="K317" s="145">
        <f>IF(ISERROR(K312-K313-K316),"–",K312-K313-K316)</f>
        <v>59</v>
      </c>
      <c r="L317" s="145" t="str">
        <f>IF(ISERROR(L312-L313-L316),"–",L312-L313-L316)</f>
        <v>–</v>
      </c>
      <c r="M317" s="142"/>
      <c r="N317" s="145">
        <f>IF(ISERROR(N312-N313-N316),"–",N312-N313-N316)</f>
        <v>369</v>
      </c>
      <c r="O317" s="145" t="str">
        <f>IF(ISERROR(O312-O313-O316),"–",O312-O313-O316)</f>
        <v>–</v>
      </c>
      <c r="P317" s="145" t="str">
        <f>IF(ISERROR(P312-P313-P316),"–",P312-P313-P316)</f>
        <v>–</v>
      </c>
      <c r="Q317" s="145" t="str">
        <f>IF(ISERROR(Q312-Q313-Q316),"–",Q312-Q313-Q316)</f>
        <v>–</v>
      </c>
      <c r="R317" s="33"/>
      <c r="S317" s="45"/>
      <c r="T317" s="33"/>
      <c r="U317" s="4"/>
      <c r="V317" s="33"/>
      <c r="W317" s="5"/>
      <c r="X317" s="54"/>
      <c r="Y317" s="54"/>
      <c r="Z317" s="54"/>
      <c r="AA317" s="395"/>
      <c r="AB317" s="47"/>
    </row>
    <row r="318" spans="1:28" ht="14.25" customHeight="1">
      <c r="A318" s="1"/>
      <c r="B318" s="396"/>
      <c r="C318" s="6"/>
      <c r="D318" s="7"/>
      <c r="E318" s="7"/>
      <c r="F318" s="33"/>
      <c r="G318" s="149"/>
      <c r="H318" s="149"/>
      <c r="I318" s="149"/>
      <c r="J318" s="149"/>
      <c r="K318" s="149"/>
      <c r="L318" s="149"/>
      <c r="M318" s="142"/>
      <c r="N318" s="149"/>
      <c r="O318" s="149"/>
      <c r="P318" s="149"/>
      <c r="Q318" s="149"/>
      <c r="R318" s="33"/>
      <c r="S318" s="8"/>
      <c r="T318" s="33"/>
      <c r="U318" s="6"/>
      <c r="V318" s="33"/>
      <c r="W318" s="8"/>
      <c r="X318" s="8"/>
      <c r="Y318" s="8"/>
      <c r="Z318" s="8"/>
      <c r="AA318" s="395"/>
      <c r="AB318" s="47"/>
    </row>
    <row r="319" spans="1:28" ht="13.5" customHeight="1" hidden="1">
      <c r="A319" s="1"/>
      <c r="B319" s="396"/>
      <c r="C319" s="4" t="str">
        <f>"IBCM – Income statement – "&amp;D319</f>
        <v>IBCM – Income statement – Compensation ratio (%)</v>
      </c>
      <c r="D319" s="82" t="s">
        <v>9</v>
      </c>
      <c r="E319" s="91"/>
      <c r="F319" s="33"/>
      <c r="G319" s="151">
        <f>IF(ISERROR(G314/G312),"–",IF(ABS(G314/G312*100)&gt;NM,"–",G314/G312*100))</f>
        <v>57.42574257425742</v>
      </c>
      <c r="H319" s="151">
        <f>IF(ISERROR(H314/H312),"–",IF(ABS(H314/H312*100)&gt;NM,"–",H314/H312*100))</f>
        <v>59.295499021526425</v>
      </c>
      <c r="I319" s="151">
        <f>IF(ISERROR(I314/I312),"–",IF(ABS(I314/I312*100)&gt;NM,"–",I314/I312*100))</f>
        <v>64.11378555798687</v>
      </c>
      <c r="J319" s="151">
        <f>IF(ISERROR(J314/J312),"–",IF(ABS(J314/J312*100)&gt;NM,"–",J314/J312*100))</f>
        <v>57.34513274336284</v>
      </c>
      <c r="K319" s="151">
        <f>IF(ISERROR(K314/K312),"–",IF(ABS(K314/K312*100)&gt;NM,"–",K314/K312*100))</f>
        <v>59.84848484848485</v>
      </c>
      <c r="L319" s="151" t="str">
        <f>IF(ISERROR(L314/L312),"–",IF(ABS(L314/L312*100)&gt;NM,"–",L314/L312*100))</f>
        <v>–</v>
      </c>
      <c r="M319" s="142"/>
      <c r="N319" s="151">
        <f>IF(ISERROR(N314/N312),"–",IF(ABS(N314/N312*100)&gt;NM,"–",N314/N312*100))</f>
        <v>59.28003740065451</v>
      </c>
      <c r="O319" s="151" t="str">
        <f>IF(ISERROR(O314/O312),"–",IF(ABS(O314/O312*100)&gt;NM,"–",O314/O312*100))</f>
        <v>–</v>
      </c>
      <c r="P319" s="151" t="str">
        <f>IF(ISERROR(P314/P312),"–",IF(ABS(P314/P312*100)&gt;NM,"–",P314/P312*100))</f>
        <v>–</v>
      </c>
      <c r="Q319" s="151" t="str">
        <f>IF(ISERROR(Q314/Q312),"–",IF(ABS(Q314/Q312*100)&gt;NM,"–",Q314/Q312*100))</f>
        <v>–</v>
      </c>
      <c r="R319" s="33"/>
      <c r="S319" s="45"/>
      <c r="T319" s="33"/>
      <c r="U319" s="4"/>
      <c r="V319" s="33"/>
      <c r="W319" s="12"/>
      <c r="X319" s="58"/>
      <c r="Y319" s="58"/>
      <c r="Z319" s="58"/>
      <c r="AA319" s="395"/>
      <c r="AB319" s="47"/>
    </row>
    <row r="320" spans="1:28" ht="13.5" customHeight="1" hidden="1">
      <c r="A320" s="1"/>
      <c r="B320" s="396"/>
      <c r="C320" s="4" t="str">
        <f>"IBCM – Income statement – "&amp;D320</f>
        <v>IBCM – Income statement – Non-compensation ratio (%)</v>
      </c>
      <c r="D320" s="82" t="s">
        <v>10</v>
      </c>
      <c r="E320" s="91"/>
      <c r="F320" s="33"/>
      <c r="G320" s="151">
        <f>IF(ISERROR(G315/G312),"–",IF(ABS(G315/G312*100)&gt;NM,"–",G315/G312*100))</f>
        <v>16.996699669966997</v>
      </c>
      <c r="H320" s="151">
        <f>IF(ISERROR(H315/H312),"–",IF(ABS(H315/H312*100)&gt;NM,"–",H315/H312*100))</f>
        <v>22.89628180039139</v>
      </c>
      <c r="I320" s="151">
        <f>IF(ISERROR(I315/I312),"–",IF(ABS(I315/I312*100)&gt;NM,"–",I315/I312*100))</f>
        <v>25.601750547045953</v>
      </c>
      <c r="J320" s="151">
        <f>IF(ISERROR(J315/J312),"–",IF(ABS(J315/J312*100)&gt;NM,"–",J315/J312*100))</f>
        <v>23.893805309734514</v>
      </c>
      <c r="K320" s="151">
        <f>IF(ISERROR(K315/K312),"–",IF(ABS(K315/K312*100)&gt;NM,"–",K315/K312*100))</f>
        <v>28.78787878787879</v>
      </c>
      <c r="L320" s="151" t="str">
        <f>IF(ISERROR(L315/L312),"–",IF(ABS(L315/L312*100)&gt;NM,"–",L315/L312*100))</f>
        <v>–</v>
      </c>
      <c r="M320" s="142"/>
      <c r="N320" s="151">
        <f>IF(ISERROR(N315/N312),"–",IF(ABS(N315/N312*100)&gt;NM,"–",N315/N312*100))</f>
        <v>22.06638616175783</v>
      </c>
      <c r="O320" s="151" t="str">
        <f>IF(ISERROR(O315/O312),"–",IF(ABS(O315/O312*100)&gt;NM,"–",O315/O312*100))</f>
        <v>–</v>
      </c>
      <c r="P320" s="151" t="str">
        <f>IF(ISERROR(P315/P312),"–",IF(ABS(P315/P312*100)&gt;NM,"–",P315/P312*100))</f>
        <v>–</v>
      </c>
      <c r="Q320" s="151" t="str">
        <f>IF(ISERROR(Q315/Q312),"–",IF(ABS(Q315/Q312*100)&gt;NM,"–",Q315/Q312*100))</f>
        <v>–</v>
      </c>
      <c r="R320" s="33"/>
      <c r="S320" s="45"/>
      <c r="T320" s="33"/>
      <c r="U320" s="4"/>
      <c r="V320" s="33"/>
      <c r="W320" s="12"/>
      <c r="X320" s="58"/>
      <c r="Y320" s="58"/>
      <c r="Z320" s="58"/>
      <c r="AA320" s="395"/>
      <c r="AB320" s="47"/>
    </row>
    <row r="321" spans="1:28" ht="13.5" customHeight="1">
      <c r="A321" s="1"/>
      <c r="B321" s="396"/>
      <c r="C321" s="4" t="str">
        <f>"IBCM – Income statement – "&amp;D321</f>
        <v>IBCM – Income statement – Cost / income ratio (%)</v>
      </c>
      <c r="D321" s="77" t="s">
        <v>11</v>
      </c>
      <c r="E321" s="85"/>
      <c r="F321" s="33"/>
      <c r="G321" s="151">
        <f>IF(ISERROR(G316/G312),"–",IF(ABS(G316/G312*100)&gt;NM,"–",G316/G312*100))</f>
        <v>74.42244224422441</v>
      </c>
      <c r="H321" s="151">
        <f>IF(ISERROR(H316/H312),"–",IF(ABS(H316/H312*100)&gt;NM,"–",H316/H312*100))</f>
        <v>82.1917808219178</v>
      </c>
      <c r="I321" s="151">
        <f>IF(ISERROR(I316/I312),"–",IF(ABS(I316/I312*100)&gt;NM,"–",I316/I312*100))</f>
        <v>89.71553610503283</v>
      </c>
      <c r="J321" s="151">
        <f>IF(ISERROR(J316/J312),"–",IF(ABS(J316/J312*100)&gt;NM,"–",J316/J312*100))</f>
        <v>81.23893805309734</v>
      </c>
      <c r="K321" s="151">
        <f>IF(ISERROR(K316/K312),"–",IF(ABS(K316/K312*100)&gt;NM,"–",K316/K312*100))</f>
        <v>88.63636363636364</v>
      </c>
      <c r="L321" s="151" t="str">
        <f>IF(ISERROR(L316/L312),"–",IF(ABS(L316/L312*100)&gt;NM,"–",L316/L312*100))</f>
        <v>–</v>
      </c>
      <c r="M321" s="142"/>
      <c r="N321" s="151">
        <f>IF(ISERROR(N316/N312),"–",IF(ABS(N316/N312*100)&gt;NM,"–",N316/N312*100))</f>
        <v>81.34642356241234</v>
      </c>
      <c r="O321" s="151" t="str">
        <f>IF(ISERROR(O316/O312),"–",IF(ABS(O316/O312*100)&gt;NM,"–",O316/O312*100))</f>
        <v>–</v>
      </c>
      <c r="P321" s="151" t="str">
        <f>IF(ISERROR(P316/P312),"–",IF(ABS(P316/P312*100)&gt;NM,"–",P316/P312*100))</f>
        <v>–</v>
      </c>
      <c r="Q321" s="151" t="str">
        <f>IF(ISERROR(Q316/Q312),"–",IF(ABS(Q316/Q312*100)&gt;NM,"–",Q316/Q312*100))</f>
        <v>–</v>
      </c>
      <c r="R321" s="33"/>
      <c r="S321" s="45"/>
      <c r="T321" s="33"/>
      <c r="U321" s="4"/>
      <c r="V321" s="33"/>
      <c r="W321" s="13"/>
      <c r="X321" s="59"/>
      <c r="Y321" s="59"/>
      <c r="Z321" s="59"/>
      <c r="AA321" s="395"/>
      <c r="AB321" s="47"/>
    </row>
    <row r="322" spans="1:28" ht="13.5" customHeight="1">
      <c r="A322" s="1"/>
      <c r="B322" s="396"/>
      <c r="C322" s="4" t="str">
        <f>"IBCM – Income statement – "&amp;D322</f>
        <v>IBCM – Income statement – Pre-tax income margin (%)</v>
      </c>
      <c r="D322" s="77" t="s">
        <v>12</v>
      </c>
      <c r="E322" s="85"/>
      <c r="F322" s="33"/>
      <c r="G322" s="151">
        <f>IF(ISERROR(G317/G312),"–",IF(ABS(G317/G312*100)&gt;NM,"–",G317/G312*100))</f>
        <v>24.58745874587459</v>
      </c>
      <c r="H322" s="151">
        <f>IF(ISERROR(H317/H312),"–",IF(ABS(H317/H312*100)&gt;NM,"–",H317/H312*100))</f>
        <v>15.264187866927593</v>
      </c>
      <c r="I322" s="151">
        <f>IF(ISERROR(I317/I312),"–",IF(ABS(I317/I312*100)&gt;NM,"–",I317/I312*100))</f>
        <v>7.658643326039387</v>
      </c>
      <c r="J322" s="151">
        <f>IF(ISERROR(J317/J312),"–",IF(ABS(J317/J312*100)&gt;NM,"–",J317/J312*100))</f>
        <v>18.938053097345133</v>
      </c>
      <c r="K322" s="151">
        <f>IF(ISERROR(K317/K312),"–",IF(ABS(K317/K312*100)&gt;NM,"–",K317/K312*100))</f>
        <v>11.174242424242424</v>
      </c>
      <c r="L322" s="151" t="str">
        <f>IF(ISERROR(L317/L312),"–",IF(ABS(L317/L312*100)&gt;NM,"–",L317/L312*100))</f>
        <v>–</v>
      </c>
      <c r="M322" s="142"/>
      <c r="N322" s="151">
        <f>IF(ISERROR(N317/N312),"–",IF(ABS(N317/N312*100)&gt;NM,"–",N317/N312*100))</f>
        <v>17.251051893408135</v>
      </c>
      <c r="O322" s="151" t="str">
        <f>IF(ISERROR(O317/O312),"–",IF(ABS(O317/O312*100)&gt;NM,"–",O317/O312*100))</f>
        <v>–</v>
      </c>
      <c r="P322" s="151" t="str">
        <f>IF(ISERROR(P317/P312),"–",IF(ABS(P317/P312*100)&gt;NM,"–",P317/P312*100))</f>
        <v>–</v>
      </c>
      <c r="Q322" s="151" t="str">
        <f>IF(ISERROR(Q317/Q312),"–",IF(ABS(Q317/Q312*100)&gt;NM,"–",Q317/Q312*100))</f>
        <v>–</v>
      </c>
      <c r="R322" s="33"/>
      <c r="S322" s="45"/>
      <c r="T322" s="33"/>
      <c r="U322" s="4"/>
      <c r="V322" s="40"/>
      <c r="W322" s="13"/>
      <c r="X322" s="59"/>
      <c r="Y322" s="59"/>
      <c r="Z322" s="59"/>
      <c r="AA322" s="395"/>
      <c r="AB322" s="47"/>
    </row>
    <row r="323" spans="1:28" ht="12.75" customHeight="1">
      <c r="A323" s="1"/>
      <c r="B323" s="396"/>
      <c r="C323" s="6"/>
      <c r="D323" s="7"/>
      <c r="E323" s="7"/>
      <c r="F323" s="33"/>
      <c r="G323" s="8"/>
      <c r="H323" s="8"/>
      <c r="I323" s="8"/>
      <c r="J323" s="8"/>
      <c r="K323" s="8"/>
      <c r="L323" s="8"/>
      <c r="M323" s="142"/>
      <c r="N323" s="8"/>
      <c r="O323" s="8"/>
      <c r="P323" s="8"/>
      <c r="Q323" s="8"/>
      <c r="R323" s="33"/>
      <c r="S323" s="8"/>
      <c r="T323" s="33"/>
      <c r="U323" s="2"/>
      <c r="V323" s="25"/>
      <c r="W323" s="2"/>
      <c r="X323" s="2"/>
      <c r="Y323" s="2"/>
      <c r="Z323" s="2"/>
      <c r="AA323" s="395"/>
      <c r="AB323" s="47"/>
    </row>
    <row r="324" spans="1:28" ht="13.5" customHeight="1">
      <c r="A324" s="1"/>
      <c r="B324" s="396"/>
      <c r="C324" s="2"/>
      <c r="D324" s="2"/>
      <c r="E324" s="2"/>
      <c r="F324" s="25"/>
      <c r="G324" s="137"/>
      <c r="H324" s="137"/>
      <c r="I324" s="137"/>
      <c r="J324" s="137"/>
      <c r="K324" s="137"/>
      <c r="L324" s="136"/>
      <c r="M324" s="159"/>
      <c r="N324" s="137"/>
      <c r="O324" s="136"/>
      <c r="P324" s="136"/>
      <c r="Q324" s="136"/>
      <c r="R324" s="25"/>
      <c r="S324" s="2"/>
      <c r="T324" s="25"/>
      <c r="U324" s="2"/>
      <c r="V324" s="25"/>
      <c r="W324" s="2"/>
      <c r="X324" s="2"/>
      <c r="Y324" s="2"/>
      <c r="Z324" s="2"/>
      <c r="AA324" s="395"/>
      <c r="AB324" s="47"/>
    </row>
    <row r="325" spans="1:28" ht="13.5" customHeight="1">
      <c r="A325" s="1"/>
      <c r="B325" s="396"/>
      <c r="C325" s="3"/>
      <c r="D325" s="3" t="s">
        <v>160</v>
      </c>
      <c r="E325" s="3"/>
      <c r="F325" s="26"/>
      <c r="G325" s="140"/>
      <c r="H325" s="140"/>
      <c r="I325" s="140"/>
      <c r="J325" s="140"/>
      <c r="K325" s="140"/>
      <c r="L325" s="138"/>
      <c r="M325" s="139"/>
      <c r="N325" s="140"/>
      <c r="O325" s="138"/>
      <c r="P325" s="138"/>
      <c r="Q325" s="138"/>
      <c r="R325" s="26"/>
      <c r="S325" s="3"/>
      <c r="T325" s="26"/>
      <c r="U325" s="3"/>
      <c r="V325" s="26"/>
      <c r="W325" s="3"/>
      <c r="X325" s="3"/>
      <c r="Y325" s="3"/>
      <c r="Z325" s="3"/>
      <c r="AA325" s="395"/>
      <c r="AB325" s="47"/>
    </row>
    <row r="326" spans="1:28" s="207" customFormat="1" ht="13.5" customHeight="1">
      <c r="A326" s="1"/>
      <c r="B326" s="396"/>
      <c r="C326" s="4" t="str">
        <f>"IBCM – Assets under management – "&amp;D326</f>
        <v>IBCM – Assets under management – Risk-weighted assets – look-through (CHF million)</v>
      </c>
      <c r="D326" s="291" t="s">
        <v>162</v>
      </c>
      <c r="E326" s="292"/>
      <c r="F326" s="30"/>
      <c r="G326" s="281">
        <v>18602</v>
      </c>
      <c r="H326" s="281">
        <v>18648</v>
      </c>
      <c r="I326" s="281">
        <v>19486</v>
      </c>
      <c r="J326" s="281">
        <v>20058</v>
      </c>
      <c r="K326" s="281">
        <v>20866</v>
      </c>
      <c r="L326" s="141">
        <f>IF(L$27="No","–",IF(INDEX(CS_CONS_LINK_ARRAY,MATCH($C326,CS_CONS_LINK_COLUMN,0),MATCH(L$1,CS_CONS_LINK_ROW,0))="","",INDEX(CS_CONS_LINK_ARRAY,MATCH($C326,CS_CONS_LINK_COLUMN,0),MATCH(L$1,CS_CONS_LINK_ROW,0))))</f>
      </c>
      <c r="M326" s="156"/>
      <c r="N326" s="170">
        <v>20058</v>
      </c>
      <c r="O326" s="141">
        <f aca="true" t="shared" si="72" ref="O326:Q327">IF(O$27="No","–",IF(INDEX(CS_CONS_LINK_ARRAY,MATCH($C326,CS_CONS_LINK_COLUMN,0),MATCH(O$1,CS_CONS_LINK_ROW,0))="","",INDEX(CS_CONS_LINK_ARRAY,MATCH($C326,CS_CONS_LINK_COLUMN,0),MATCH(O$1,CS_CONS_LINK_ROW,0))))</f>
      </c>
      <c r="P326" s="141">
        <f t="shared" si="72"/>
      </c>
      <c r="Q326" s="141">
        <f t="shared" si="72"/>
      </c>
      <c r="R326" s="30"/>
      <c r="S326" s="45"/>
      <c r="T326" s="30"/>
      <c r="U326" s="237" t="s">
        <v>26</v>
      </c>
      <c r="V326" s="28"/>
      <c r="W326" s="238">
        <f>IF(L326="–",0,IF($U326="Positive Number",IF(OR(L326&lt;0,ISTEXT(L326),ISERROR(L326)),1,0),IF(OR(ISTEXT(L326),ISERROR(L326)),1,0)))</f>
        <v>1</v>
      </c>
      <c r="X326" s="239">
        <f>IF(O326="–",0,IF($U326="Positive Number",IF(OR(O326&lt;0,ISTEXT(O326),ISERROR(O326)),1,0),IF(OR(ISTEXT(O326),ISERROR(O326)),1,0)))</f>
        <v>1</v>
      </c>
      <c r="Y326" s="239">
        <f>IF(P326="–",0,IF($U326="Positive Number",IF(OR(P326&lt;0,ISTEXT(P326),ISERROR(P326)),1,0),IF(OR(ISTEXT(P326),ISERROR(P326)),1,0)))</f>
        <v>1</v>
      </c>
      <c r="Z326" s="239">
        <f>IF(Q326="–",0,IF($U326="Positive Number",IF(OR(Q326&lt;0,ISTEXT(Q326),ISERROR(Q326)),1,0),IF(OR(ISTEXT(Q326),ISERROR(Q326)),1,0)))</f>
        <v>1</v>
      </c>
      <c r="AA326" s="395"/>
      <c r="AB326" s="47"/>
    </row>
    <row r="327" spans="1:28" s="207" customFormat="1" ht="13.5" customHeight="1">
      <c r="A327" s="1"/>
      <c r="B327" s="396"/>
      <c r="C327" s="4" t="str">
        <f>"IBCM – Assets under management – "&amp;D327</f>
        <v>IBCM – Assets under management – Leverage exposure – look-through (CHF million)</v>
      </c>
      <c r="D327" s="78" t="s">
        <v>161</v>
      </c>
      <c r="E327" s="86"/>
      <c r="F327" s="30"/>
      <c r="G327" s="170">
        <v>44018</v>
      </c>
      <c r="H327" s="170">
        <v>43073</v>
      </c>
      <c r="I327" s="170">
        <v>42794</v>
      </c>
      <c r="J327" s="170">
        <v>43842</v>
      </c>
      <c r="K327" s="170">
        <v>38731</v>
      </c>
      <c r="L327" s="141">
        <f>IF(L$27="No","–",IF(INDEX(CS_CONS_LINK_ARRAY,MATCH($C327,CS_CONS_LINK_COLUMN,0),MATCH(L$1,CS_CONS_LINK_ROW,0))="","",INDEX(CS_CONS_LINK_ARRAY,MATCH($C327,CS_CONS_LINK_COLUMN,0),MATCH(L$1,CS_CONS_LINK_ROW,0))))</f>
      </c>
      <c r="M327" s="156"/>
      <c r="N327" s="170">
        <v>43842</v>
      </c>
      <c r="O327" s="141">
        <f t="shared" si="72"/>
      </c>
      <c r="P327" s="141">
        <f t="shared" si="72"/>
      </c>
      <c r="Q327" s="141">
        <f t="shared" si="72"/>
      </c>
      <c r="R327" s="30"/>
      <c r="S327" s="45"/>
      <c r="T327" s="425"/>
      <c r="U327" s="237"/>
      <c r="V327" s="30"/>
      <c r="W327" s="16"/>
      <c r="X327" s="61"/>
      <c r="Y327" s="61"/>
      <c r="Z327" s="61"/>
      <c r="AA327" s="395"/>
      <c r="AB327" s="47"/>
    </row>
    <row r="328" spans="1:28" ht="13.5" customHeight="1">
      <c r="A328" s="1"/>
      <c r="B328" s="398"/>
      <c r="C328" s="405"/>
      <c r="D328" s="406"/>
      <c r="E328" s="406"/>
      <c r="F328" s="381"/>
      <c r="G328" s="382"/>
      <c r="H328" s="382"/>
      <c r="I328" s="382"/>
      <c r="J328" s="382"/>
      <c r="K328" s="382"/>
      <c r="L328" s="382"/>
      <c r="M328" s="382"/>
      <c r="N328" s="382"/>
      <c r="O328" s="382"/>
      <c r="P328" s="382"/>
      <c r="Q328" s="382"/>
      <c r="R328" s="381"/>
      <c r="S328" s="381"/>
      <c r="T328" s="407"/>
      <c r="U328" s="101"/>
      <c r="V328" s="19"/>
      <c r="W328" s="19"/>
      <c r="X328" s="19"/>
      <c r="Y328" s="19"/>
      <c r="Z328" s="19"/>
      <c r="AA328" s="404"/>
      <c r="AB328" s="47"/>
    </row>
    <row r="329" spans="1:28" ht="27" customHeight="1">
      <c r="A329" s="1"/>
      <c r="B329" s="311"/>
      <c r="C329" s="408"/>
      <c r="D329" s="455" t="s">
        <v>147</v>
      </c>
      <c r="E329" s="409"/>
      <c r="F329" s="410"/>
      <c r="G329" s="411"/>
      <c r="H329" s="411"/>
      <c r="I329" s="411"/>
      <c r="J329" s="411"/>
      <c r="K329" s="411"/>
      <c r="L329" s="411"/>
      <c r="M329" s="411"/>
      <c r="N329" s="411"/>
      <c r="O329" s="411"/>
      <c r="P329" s="411"/>
      <c r="Q329" s="411"/>
      <c r="R329" s="410"/>
      <c r="S329" s="410"/>
      <c r="T329" s="410"/>
      <c r="U329" s="408"/>
      <c r="V329" s="410"/>
      <c r="W329" s="410"/>
      <c r="X329" s="410"/>
      <c r="Y329" s="410"/>
      <c r="Z329" s="410"/>
      <c r="AA329" s="412"/>
      <c r="AB329" s="47"/>
    </row>
    <row r="330" spans="1:28" ht="13.5" customHeight="1">
      <c r="A330" s="1"/>
      <c r="B330" s="312"/>
      <c r="C330" s="2"/>
      <c r="D330" s="2"/>
      <c r="E330" s="2"/>
      <c r="F330" s="2"/>
      <c r="G330" s="137"/>
      <c r="H330" s="137"/>
      <c r="I330" s="137"/>
      <c r="J330" s="137"/>
      <c r="K330" s="137"/>
      <c r="L330" s="136"/>
      <c r="M330" s="136"/>
      <c r="N330" s="137"/>
      <c r="O330" s="136"/>
      <c r="P330" s="136"/>
      <c r="Q330" s="136"/>
      <c r="R330" s="2"/>
      <c r="S330" s="2"/>
      <c r="T330" s="2"/>
      <c r="U330" s="2"/>
      <c r="V330" s="2"/>
      <c r="W330" s="2"/>
      <c r="X330" s="2"/>
      <c r="Y330" s="2"/>
      <c r="Z330" s="2"/>
      <c r="AA330" s="312"/>
      <c r="AB330" s="47"/>
    </row>
    <row r="331" spans="1:28" ht="13.5" customHeight="1">
      <c r="A331" s="1"/>
      <c r="B331" s="313"/>
      <c r="C331" s="3"/>
      <c r="D331" s="3" t="s">
        <v>0</v>
      </c>
      <c r="E331" s="3"/>
      <c r="F331" s="41"/>
      <c r="G331" s="140"/>
      <c r="H331" s="140"/>
      <c r="I331" s="140"/>
      <c r="J331" s="140"/>
      <c r="K331" s="140"/>
      <c r="L331" s="138"/>
      <c r="M331" s="167"/>
      <c r="N331" s="140"/>
      <c r="O331" s="138"/>
      <c r="P331" s="138"/>
      <c r="Q331" s="138"/>
      <c r="R331" s="41"/>
      <c r="S331" s="3"/>
      <c r="T331" s="41"/>
      <c r="U331" s="3"/>
      <c r="V331" s="41"/>
      <c r="W331" s="3"/>
      <c r="X331" s="3"/>
      <c r="Y331" s="3"/>
      <c r="Z331" s="3"/>
      <c r="AA331" s="312"/>
      <c r="AB331" s="47"/>
    </row>
    <row r="332" spans="1:28" ht="13.5" customHeight="1">
      <c r="A332" s="1"/>
      <c r="B332" s="313"/>
      <c r="C332" s="4" t="str">
        <f aca="true" t="shared" si="73" ref="C332:C337">"CC – Income statement – "&amp;D332</f>
        <v>CC – Income statement – Net revenues</v>
      </c>
      <c r="D332" s="288" t="s">
        <v>1</v>
      </c>
      <c r="E332" s="289"/>
      <c r="F332" s="33"/>
      <c r="G332" s="277">
        <v>69</v>
      </c>
      <c r="H332" s="277">
        <v>-66</v>
      </c>
      <c r="I332" s="277">
        <v>37</v>
      </c>
      <c r="J332" s="277">
        <v>45</v>
      </c>
      <c r="K332" s="277">
        <v>-60</v>
      </c>
      <c r="L332" s="147">
        <f>IF(L$27="No","–",IF(INDEX(CS_CONS_LINK_ARRAY,MATCH($C332,CS_CONS_LINK_COLUMN,0),MATCH(L$1,CS_CONS_LINK_ROW,0))="","",INDEX(CS_CONS_LINK_ARRAY,MATCH($C332,CS_CONS_LINK_COLUMN,0),MATCH(L$1,CS_CONS_LINK_ROW,0))))</f>
      </c>
      <c r="M332" s="142"/>
      <c r="N332" s="148">
        <v>85</v>
      </c>
      <c r="O332" s="147">
        <f aca="true" t="shared" si="74" ref="O332:Q335">IF(O$27="No","–",IF(INDEX(CS_CONS_LINK_ARRAY,MATCH($C332,CS_CONS_LINK_COLUMN,0),MATCH(O$1,CS_CONS_LINK_ROW,0))="","",INDEX(CS_CONS_LINK_ARRAY,MATCH($C332,CS_CONS_LINK_COLUMN,0),MATCH(O$1,CS_CONS_LINK_ROW,0))))</f>
      </c>
      <c r="P332" s="147">
        <f t="shared" si="74"/>
      </c>
      <c r="Q332" s="147">
        <f t="shared" si="74"/>
      </c>
      <c r="R332" s="33"/>
      <c r="S332" s="46"/>
      <c r="T332" s="33"/>
      <c r="U332" s="38" t="s">
        <v>26</v>
      </c>
      <c r="V332" s="27"/>
      <c r="W332" s="37">
        <f>IF(L332="–",0,IF($U332="Positive Number",IF(OR(L332&lt;0,ISTEXT(L332),ISERROR(L332)),1,0),IF(OR(ISTEXT(L332),ISERROR(L332)),1,0)))</f>
        <v>1</v>
      </c>
      <c r="X332" s="57">
        <f aca="true" t="shared" si="75" ref="X332:Z335">IF(O332="–",0,IF($U332="Positive Number",IF(OR(O332&lt;0,ISTEXT(O332),ISERROR(O332)),1,0),IF(OR(ISTEXT(O332),ISERROR(O332)),1,0)))</f>
        <v>1</v>
      </c>
      <c r="Y332" s="57">
        <f t="shared" si="75"/>
        <v>1</v>
      </c>
      <c r="Z332" s="57">
        <f t="shared" si="75"/>
        <v>1</v>
      </c>
      <c r="AA332" s="312"/>
      <c r="AB332" s="47"/>
    </row>
    <row r="333" spans="1:28" ht="13.5" customHeight="1">
      <c r="A333" s="10"/>
      <c r="B333" s="314"/>
      <c r="C333" s="4" t="str">
        <f t="shared" si="73"/>
        <v>CC – Income statement – Provision for credit losses</v>
      </c>
      <c r="D333" s="288" t="s">
        <v>5</v>
      </c>
      <c r="E333" s="289"/>
      <c r="F333" s="33"/>
      <c r="G333" s="277">
        <v>2</v>
      </c>
      <c r="H333" s="277">
        <v>1</v>
      </c>
      <c r="I333" s="277">
        <v>0</v>
      </c>
      <c r="J333" s="277">
        <v>-3</v>
      </c>
      <c r="K333" s="277">
        <v>0</v>
      </c>
      <c r="L333" s="147">
        <f>IF(L$27="No","–",IF(INDEX(CS_CONS_LINK_ARRAY,MATCH($C333,CS_CONS_LINK_COLUMN,0),MATCH(L$1,CS_CONS_LINK_ROW,0))="","",INDEX(CS_CONS_LINK_ARRAY,MATCH($C333,CS_CONS_LINK_COLUMN,0),MATCH(L$1,CS_CONS_LINK_ROW,0))))</f>
      </c>
      <c r="M333" s="142"/>
      <c r="N333" s="148">
        <v>0</v>
      </c>
      <c r="O333" s="147">
        <f t="shared" si="74"/>
      </c>
      <c r="P333" s="147">
        <f t="shared" si="74"/>
      </c>
      <c r="Q333" s="147">
        <f t="shared" si="74"/>
      </c>
      <c r="R333" s="33"/>
      <c r="S333" s="45"/>
      <c r="T333" s="33"/>
      <c r="U333" s="38" t="s">
        <v>26</v>
      </c>
      <c r="V333" s="27"/>
      <c r="W333" s="37">
        <f>IF(L333="–",0,IF($U333="Positive Number",IF(OR(L333&lt;0,ISTEXT(L333),ISERROR(L333)),1,0),IF(OR(ISTEXT(L333),ISERROR(L333)),1,0)))</f>
        <v>1</v>
      </c>
      <c r="X333" s="57">
        <f t="shared" si="75"/>
        <v>1</v>
      </c>
      <c r="Y333" s="57">
        <f t="shared" si="75"/>
        <v>1</v>
      </c>
      <c r="Z333" s="57">
        <f t="shared" si="75"/>
        <v>1</v>
      </c>
      <c r="AA333" s="413"/>
      <c r="AB333" s="64"/>
    </row>
    <row r="334" spans="1:28" ht="13.5" customHeight="1">
      <c r="A334" s="1"/>
      <c r="B334" s="313"/>
      <c r="C334" s="4" t="str">
        <f t="shared" si="73"/>
        <v>CC – Income statement – Compensation and benefits</v>
      </c>
      <c r="D334" s="218" t="s">
        <v>6</v>
      </c>
      <c r="E334" s="290"/>
      <c r="F334" s="33"/>
      <c r="G334" s="276">
        <v>101</v>
      </c>
      <c r="H334" s="276">
        <v>112</v>
      </c>
      <c r="I334" s="276">
        <v>104</v>
      </c>
      <c r="J334" s="276">
        <v>81</v>
      </c>
      <c r="K334" s="276">
        <v>55</v>
      </c>
      <c r="L334" s="141">
        <f>IF(L$27="No","–",IF(INDEX(CS_CONS_LINK_ARRAY,MATCH($C334,CS_CONS_LINK_COLUMN,0),MATCH(L$1,CS_CONS_LINK_ROW,0))="","",INDEX(CS_CONS_LINK_ARRAY,MATCH($C334,CS_CONS_LINK_COLUMN,0),MATCH(L$1,CS_CONS_LINK_ROW,0))))</f>
      </c>
      <c r="M334" s="142"/>
      <c r="N334" s="242">
        <v>394</v>
      </c>
      <c r="O334" s="141">
        <f t="shared" si="74"/>
      </c>
      <c r="P334" s="141">
        <f t="shared" si="74"/>
      </c>
      <c r="Q334" s="141">
        <f t="shared" si="74"/>
      </c>
      <c r="R334" s="33"/>
      <c r="S334" s="45"/>
      <c r="T334" s="33"/>
      <c r="U334" s="38" t="s">
        <v>26</v>
      </c>
      <c r="V334" s="28"/>
      <c r="W334" s="37">
        <f>IF(L334="–",0,IF($U334="Positive Number",IF(OR(L334&lt;0,ISTEXT(L334),ISERROR(L334)),1,0),IF(OR(ISTEXT(L334),ISERROR(L334)),1,0)))</f>
        <v>1</v>
      </c>
      <c r="X334" s="57">
        <f t="shared" si="75"/>
        <v>1</v>
      </c>
      <c r="Y334" s="57">
        <f t="shared" si="75"/>
        <v>1</v>
      </c>
      <c r="Z334" s="57">
        <f t="shared" si="75"/>
        <v>1</v>
      </c>
      <c r="AA334" s="312"/>
      <c r="AB334" s="47"/>
    </row>
    <row r="335" spans="1:28" ht="13.5" customHeight="1">
      <c r="A335" s="1"/>
      <c r="B335" s="313"/>
      <c r="C335" s="4" t="str">
        <f t="shared" si="73"/>
        <v>CC – Income statement – Total other operating expenses</v>
      </c>
      <c r="D335" s="218" t="s">
        <v>137</v>
      </c>
      <c r="E335" s="290"/>
      <c r="F335" s="33"/>
      <c r="G335" s="276">
        <v>65</v>
      </c>
      <c r="H335" s="276">
        <v>66</v>
      </c>
      <c r="I335" s="276">
        <v>60</v>
      </c>
      <c r="J335" s="276">
        <v>232</v>
      </c>
      <c r="K335" s="276">
        <v>57</v>
      </c>
      <c r="L335" s="141">
        <f>IF(L$27="No","–",IF(INDEX(CS_CONS_LINK_ARRAY,MATCH($C335,CS_CONS_LINK_COLUMN,0),MATCH(L$1,CS_CONS_LINK_ROW,0))="","",INDEX(CS_CONS_LINK_ARRAY,MATCH($C335,CS_CONS_LINK_COLUMN,0),MATCH(L$1,CS_CONS_LINK_ROW,0))))</f>
      </c>
      <c r="M335" s="142"/>
      <c r="N335" s="242">
        <v>427</v>
      </c>
      <c r="O335" s="141">
        <f t="shared" si="74"/>
      </c>
      <c r="P335" s="141">
        <f t="shared" si="74"/>
      </c>
      <c r="Q335" s="141">
        <f t="shared" si="74"/>
      </c>
      <c r="R335" s="33"/>
      <c r="S335" s="45"/>
      <c r="T335" s="33"/>
      <c r="U335" s="38" t="s">
        <v>26</v>
      </c>
      <c r="V335" s="28"/>
      <c r="W335" s="37">
        <f>IF(L335="–",0,IF($U335="Positive Number",IF(OR(L335&lt;0,ISTEXT(L335),ISERROR(L335)),1,0),IF(OR(ISTEXT(L335),ISERROR(L335)),1,0)))</f>
        <v>1</v>
      </c>
      <c r="X335" s="57">
        <f t="shared" si="75"/>
        <v>1</v>
      </c>
      <c r="Y335" s="57">
        <f t="shared" si="75"/>
        <v>1</v>
      </c>
      <c r="Z335" s="57">
        <f t="shared" si="75"/>
        <v>1</v>
      </c>
      <c r="AA335" s="312"/>
      <c r="AB335" s="47"/>
    </row>
    <row r="336" spans="1:28" ht="13.5" customHeight="1">
      <c r="A336" s="1"/>
      <c r="B336" s="313"/>
      <c r="C336" s="4" t="str">
        <f t="shared" si="73"/>
        <v>CC – Income statement – Total operating expenses</v>
      </c>
      <c r="D336" s="75" t="s">
        <v>7</v>
      </c>
      <c r="E336" s="83"/>
      <c r="F336" s="33"/>
      <c r="G336" s="146">
        <f>IF(ISERROR(G334+G335),"–",G334+G335)</f>
        <v>166</v>
      </c>
      <c r="H336" s="146">
        <f>IF(ISERROR(H334+H335),"–",H334+H335)</f>
        <v>178</v>
      </c>
      <c r="I336" s="146">
        <f>IF(ISERROR(I334+I335),"–",I334+I335)</f>
        <v>164</v>
      </c>
      <c r="J336" s="146">
        <f>IF(ISERROR(J334+J335),"–",J334+J335)</f>
        <v>313</v>
      </c>
      <c r="K336" s="146">
        <f>IF(ISERROR(K334+K335),"–",K334+K335)</f>
        <v>112</v>
      </c>
      <c r="L336" s="146" t="str">
        <f>IF(ISERROR(L334+L335),"–",L334+L335)</f>
        <v>–</v>
      </c>
      <c r="M336" s="142"/>
      <c r="N336" s="146">
        <f>IF(ISERROR(N334+N335),"–",N334+N335)</f>
        <v>821</v>
      </c>
      <c r="O336" s="146" t="str">
        <f>IF(ISERROR(O334+O335),"–",O334+O335)</f>
        <v>–</v>
      </c>
      <c r="P336" s="146" t="str">
        <f>IF(ISERROR(P334+P335),"–",P334+P335)</f>
        <v>–</v>
      </c>
      <c r="Q336" s="146" t="str">
        <f>IF(ISERROR(Q334+Q335),"–",Q334+Q335)</f>
        <v>–</v>
      </c>
      <c r="R336" s="33"/>
      <c r="S336" s="45"/>
      <c r="T336" s="33"/>
      <c r="U336" s="4"/>
      <c r="V336" s="33"/>
      <c r="W336" s="5"/>
      <c r="X336" s="54"/>
      <c r="Y336" s="54"/>
      <c r="Z336" s="54"/>
      <c r="AA336" s="312"/>
      <c r="AB336" s="47"/>
    </row>
    <row r="337" spans="1:28" ht="13.5" customHeight="1">
      <c r="A337" s="1"/>
      <c r="B337" s="313"/>
      <c r="C337" s="4" t="str">
        <f t="shared" si="73"/>
        <v>CC – Income statement – Income from continuing operations before taxes</v>
      </c>
      <c r="D337" s="75" t="s">
        <v>8</v>
      </c>
      <c r="E337" s="83"/>
      <c r="F337" s="33"/>
      <c r="G337" s="145">
        <f>IF(ISERROR(G332-G333-G336),"–",G332-G333-G336)</f>
        <v>-99</v>
      </c>
      <c r="H337" s="145">
        <f>IF(ISERROR(H332-H333-H336),"–",H332-H333-H336)</f>
        <v>-245</v>
      </c>
      <c r="I337" s="145">
        <f>IF(ISERROR(I332-I333-I336),"–",I332-I333-I336)</f>
        <v>-127</v>
      </c>
      <c r="J337" s="145">
        <f>IF(ISERROR(J332-J333-J336),"–",J332-J333-J336)</f>
        <v>-265</v>
      </c>
      <c r="K337" s="145">
        <f>IF(ISERROR(K332-K333-K336),"–",K332-K333-K336)</f>
        <v>-172</v>
      </c>
      <c r="L337" s="145" t="str">
        <f>IF(ISERROR(L332-L333-L336),"–",L332-L333-L336)</f>
        <v>–</v>
      </c>
      <c r="M337" s="142"/>
      <c r="N337" s="145">
        <f>IF(ISERROR(N332-N333-N336),"–",N332-N333-N336)</f>
        <v>-736</v>
      </c>
      <c r="O337" s="145" t="str">
        <f>IF(ISERROR(O332-O333-O336),"–",O332-O333-O336)</f>
        <v>–</v>
      </c>
      <c r="P337" s="145" t="str">
        <f>IF(ISERROR(P332-P333-P336),"–",P332-P333-P336)</f>
        <v>–</v>
      </c>
      <c r="Q337" s="145" t="str">
        <f>IF(ISERROR(Q332-Q333-Q336),"–",Q332-Q333-Q336)</f>
        <v>–</v>
      </c>
      <c r="R337" s="33"/>
      <c r="S337" s="45"/>
      <c r="T337" s="33"/>
      <c r="U337" s="4"/>
      <c r="V337" s="40"/>
      <c r="W337" s="5"/>
      <c r="X337" s="54"/>
      <c r="Y337" s="54"/>
      <c r="Z337" s="54"/>
      <c r="AA337" s="312"/>
      <c r="AB337" s="47"/>
    </row>
    <row r="338" spans="1:28" ht="12.75" customHeight="1">
      <c r="A338" s="1"/>
      <c r="B338" s="313"/>
      <c r="C338" s="6"/>
      <c r="D338" s="7"/>
      <c r="E338" s="7"/>
      <c r="F338" s="33"/>
      <c r="G338" s="8"/>
      <c r="H338" s="8"/>
      <c r="I338" s="8"/>
      <c r="J338" s="8"/>
      <c r="K338" s="8"/>
      <c r="L338" s="8"/>
      <c r="M338" s="142"/>
      <c r="N338" s="8"/>
      <c r="O338" s="8"/>
      <c r="P338" s="8"/>
      <c r="Q338" s="8"/>
      <c r="R338" s="33"/>
      <c r="S338" s="423"/>
      <c r="T338" s="25"/>
      <c r="U338" s="2"/>
      <c r="V338" s="25"/>
      <c r="W338" s="2"/>
      <c r="X338" s="2"/>
      <c r="Y338" s="2"/>
      <c r="Z338" s="2"/>
      <c r="AA338" s="312"/>
      <c r="AB338" s="47"/>
    </row>
    <row r="339" spans="1:28" ht="13.5" customHeight="1">
      <c r="A339" s="1"/>
      <c r="B339" s="313"/>
      <c r="C339" s="2"/>
      <c r="D339" s="2"/>
      <c r="E339" s="2"/>
      <c r="F339" s="25"/>
      <c r="G339" s="137"/>
      <c r="H339" s="137"/>
      <c r="I339" s="137"/>
      <c r="J339" s="137"/>
      <c r="K339" s="137"/>
      <c r="L339" s="136"/>
      <c r="M339" s="159"/>
      <c r="N339" s="137"/>
      <c r="O339" s="136"/>
      <c r="P339" s="136"/>
      <c r="Q339" s="136"/>
      <c r="R339" s="25"/>
      <c r="S339" s="2"/>
      <c r="T339" s="25"/>
      <c r="U339" s="2"/>
      <c r="V339" s="25"/>
      <c r="W339" s="2"/>
      <c r="X339" s="2"/>
      <c r="Y339" s="2"/>
      <c r="Z339" s="2"/>
      <c r="AA339" s="312"/>
      <c r="AB339" s="47"/>
    </row>
    <row r="340" spans="1:28" ht="13.5" customHeight="1">
      <c r="A340" s="1"/>
      <c r="B340" s="313"/>
      <c r="C340" s="3"/>
      <c r="D340" s="3" t="s">
        <v>160</v>
      </c>
      <c r="E340" s="3"/>
      <c r="F340" s="26"/>
      <c r="G340" s="140"/>
      <c r="H340" s="140"/>
      <c r="I340" s="140"/>
      <c r="J340" s="140"/>
      <c r="K340" s="140"/>
      <c r="L340" s="138"/>
      <c r="M340" s="139"/>
      <c r="N340" s="140"/>
      <c r="O340" s="138"/>
      <c r="P340" s="138"/>
      <c r="Q340" s="138"/>
      <c r="R340" s="26"/>
      <c r="S340" s="3"/>
      <c r="T340" s="26"/>
      <c r="U340" s="3"/>
      <c r="V340" s="26"/>
      <c r="W340" s="3"/>
      <c r="X340" s="3"/>
      <c r="Y340" s="3"/>
      <c r="Z340" s="3"/>
      <c r="AA340" s="312"/>
      <c r="AB340" s="47"/>
    </row>
    <row r="341" spans="1:28" s="207" customFormat="1" ht="13.5" customHeight="1">
      <c r="A341" s="1"/>
      <c r="B341" s="313"/>
      <c r="C341" s="4" t="str">
        <f>"CC – Assets under management – "&amp;D341</f>
        <v>CC – Assets under management – Risk-weighted assets – look-through (CHF million)</v>
      </c>
      <c r="D341" s="291" t="s">
        <v>162</v>
      </c>
      <c r="E341" s="292"/>
      <c r="F341" s="30"/>
      <c r="G341" s="281">
        <v>17180</v>
      </c>
      <c r="H341" s="281">
        <v>18021</v>
      </c>
      <c r="I341" s="281">
        <v>20718</v>
      </c>
      <c r="J341" s="281">
        <v>23849</v>
      </c>
      <c r="K341" s="281">
        <v>28135</v>
      </c>
      <c r="L341" s="141">
        <f>IF(L$27="No","–",IF(INDEX(CS_CONS_LINK_ARRAY,MATCH($C341,CS_CONS_LINK_COLUMN,0),MATCH(L$1,CS_CONS_LINK_ROW,0))="","",INDEX(CS_CONS_LINK_ARRAY,MATCH($C341,CS_CONS_LINK_COLUMN,0),MATCH(L$1,CS_CONS_LINK_ROW,0))))</f>
      </c>
      <c r="M341" s="156"/>
      <c r="N341" s="170">
        <v>23849</v>
      </c>
      <c r="O341" s="141">
        <f aca="true" t="shared" si="76" ref="O341:Q342">IF(O$27="No","–",IF(INDEX(CS_CONS_LINK_ARRAY,MATCH($C341,CS_CONS_LINK_COLUMN,0),MATCH(O$1,CS_CONS_LINK_ROW,0))="","",INDEX(CS_CONS_LINK_ARRAY,MATCH($C341,CS_CONS_LINK_COLUMN,0),MATCH(O$1,CS_CONS_LINK_ROW,0))))</f>
      </c>
      <c r="P341" s="141">
        <f t="shared" si="76"/>
      </c>
      <c r="Q341" s="141">
        <f t="shared" si="76"/>
      </c>
      <c r="R341" s="30"/>
      <c r="S341" s="45"/>
      <c r="T341" s="30"/>
      <c r="U341" s="237" t="s">
        <v>26</v>
      </c>
      <c r="V341" s="28"/>
      <c r="W341" s="238">
        <f>IF(L341="–",0,IF($U341="Positive Number",IF(OR(L341&lt;0,ISTEXT(L341),ISERROR(L341)),1,0),IF(OR(ISTEXT(L341),ISERROR(L341)),1,0)))</f>
        <v>1</v>
      </c>
      <c r="X341" s="239">
        <f>IF(O341="–",0,IF($U341="Positive Number",IF(OR(O341&lt;0,ISTEXT(O341),ISERROR(O341)),1,0),IF(OR(ISTEXT(O341),ISERROR(O341)),1,0)))</f>
        <v>1</v>
      </c>
      <c r="Y341" s="239">
        <f>IF(P341="–",0,IF($U341="Positive Number",IF(OR(P341&lt;0,ISTEXT(P341),ISERROR(P341)),1,0),IF(OR(ISTEXT(P341),ISERROR(P341)),1,0)))</f>
        <v>1</v>
      </c>
      <c r="Z341" s="239">
        <f>IF(Q341="–",0,IF($U341="Positive Number",IF(OR(Q341&lt;0,ISTEXT(Q341),ISERROR(Q341)),1,0),IF(OR(ISTEXT(Q341),ISERROR(Q341)),1,0)))</f>
        <v>1</v>
      </c>
      <c r="AA341" s="312"/>
      <c r="AB341" s="47"/>
    </row>
    <row r="342" spans="1:28" s="207" customFormat="1" ht="13.5" customHeight="1">
      <c r="A342" s="1"/>
      <c r="B342" s="313"/>
      <c r="C342" s="4" t="str">
        <f>"CC – Assets under management – "&amp;D342</f>
        <v>CC – Assets under management – Leverage exposure – look-through (CHF million)</v>
      </c>
      <c r="D342" s="78" t="s">
        <v>161</v>
      </c>
      <c r="E342" s="86"/>
      <c r="F342" s="30"/>
      <c r="G342" s="170">
        <v>64219</v>
      </c>
      <c r="H342" s="170">
        <v>59858</v>
      </c>
      <c r="I342" s="170">
        <v>63467</v>
      </c>
      <c r="J342" s="170">
        <v>67034</v>
      </c>
      <c r="K342" s="170">
        <v>110767</v>
      </c>
      <c r="L342" s="141">
        <f>IF(L$27="No","–",IF(INDEX(CS_CONS_LINK_ARRAY,MATCH($C342,CS_CONS_LINK_COLUMN,0),MATCH(L$1,CS_CONS_LINK_ROW,0))="","",INDEX(CS_CONS_LINK_ARRAY,MATCH($C342,CS_CONS_LINK_COLUMN,0),MATCH(L$1,CS_CONS_LINK_ROW,0))))</f>
      </c>
      <c r="M342" s="156"/>
      <c r="N342" s="170">
        <v>67034</v>
      </c>
      <c r="O342" s="141">
        <f t="shared" si="76"/>
      </c>
      <c r="P342" s="141">
        <f t="shared" si="76"/>
      </c>
      <c r="Q342" s="141">
        <f t="shared" si="76"/>
      </c>
      <c r="R342" s="30"/>
      <c r="S342" s="45"/>
      <c r="T342" s="451"/>
      <c r="U342" s="237"/>
      <c r="V342" s="30"/>
      <c r="W342" s="16"/>
      <c r="X342" s="61"/>
      <c r="Y342" s="61"/>
      <c r="Z342" s="61"/>
      <c r="AA342" s="312"/>
      <c r="AB342" s="47"/>
    </row>
    <row r="343" spans="1:28" ht="12.75" customHeight="1">
      <c r="A343" s="1"/>
      <c r="B343" s="315"/>
      <c r="C343" s="415"/>
      <c r="D343" s="416"/>
      <c r="E343" s="416"/>
      <c r="F343" s="410"/>
      <c r="G343" s="411"/>
      <c r="H343" s="411"/>
      <c r="I343" s="411"/>
      <c r="J343" s="411"/>
      <c r="K343" s="411"/>
      <c r="L343" s="411"/>
      <c r="M343" s="411"/>
      <c r="N343" s="411"/>
      <c r="O343" s="411"/>
      <c r="P343" s="411"/>
      <c r="Q343" s="411"/>
      <c r="R343" s="410"/>
      <c r="S343" s="410"/>
      <c r="T343" s="417"/>
      <c r="U343" s="101"/>
      <c r="V343" s="19"/>
      <c r="W343" s="19"/>
      <c r="X343" s="19"/>
      <c r="Y343" s="19"/>
      <c r="Z343" s="19"/>
      <c r="AA343" s="414"/>
      <c r="AB343" s="47"/>
    </row>
    <row r="344" spans="1:28" ht="27" customHeight="1">
      <c r="A344" s="1"/>
      <c r="B344" s="334"/>
      <c r="C344" s="344"/>
      <c r="D344" s="456" t="s">
        <v>86</v>
      </c>
      <c r="E344" s="343"/>
      <c r="F344" s="339"/>
      <c r="G344" s="340"/>
      <c r="H344" s="340"/>
      <c r="I344" s="340"/>
      <c r="J344" s="340"/>
      <c r="K344" s="340"/>
      <c r="L344" s="340"/>
      <c r="M344" s="340"/>
      <c r="N344" s="340"/>
      <c r="O344" s="340"/>
      <c r="P344" s="340"/>
      <c r="Q344" s="340"/>
      <c r="R344" s="339"/>
      <c r="S344" s="339"/>
      <c r="T344" s="339"/>
      <c r="U344" s="22"/>
      <c r="V344" s="23"/>
      <c r="W344" s="23"/>
      <c r="X344" s="23"/>
      <c r="Y344" s="23"/>
      <c r="Z344" s="23"/>
      <c r="AA344" s="341"/>
      <c r="AB344" s="47"/>
    </row>
    <row r="345" spans="1:28" ht="13.5" customHeight="1">
      <c r="A345" s="1"/>
      <c r="B345" s="335"/>
      <c r="C345" s="2"/>
      <c r="D345" s="2"/>
      <c r="E345" s="2"/>
      <c r="F345" s="2"/>
      <c r="G345" s="137"/>
      <c r="H345" s="137"/>
      <c r="I345" s="137"/>
      <c r="J345" s="137"/>
      <c r="K345" s="137"/>
      <c r="L345" s="136"/>
      <c r="M345" s="136"/>
      <c r="N345" s="137"/>
      <c r="O345" s="136"/>
      <c r="P345" s="136"/>
      <c r="Q345" s="136"/>
      <c r="R345" s="2"/>
      <c r="S345" s="2"/>
      <c r="T345" s="2"/>
      <c r="U345" s="2"/>
      <c r="V345" s="2"/>
      <c r="W345" s="2"/>
      <c r="X345" s="2"/>
      <c r="Y345" s="2"/>
      <c r="Z345" s="2"/>
      <c r="AA345" s="335"/>
      <c r="AB345" s="47"/>
    </row>
    <row r="346" spans="1:28" ht="13.5" customHeight="1">
      <c r="A346" s="1"/>
      <c r="B346" s="336"/>
      <c r="C346" s="3"/>
      <c r="D346" s="3" t="s">
        <v>0</v>
      </c>
      <c r="E346" s="3"/>
      <c r="F346" s="41"/>
      <c r="G346" s="140"/>
      <c r="H346" s="140"/>
      <c r="I346" s="140"/>
      <c r="J346" s="140"/>
      <c r="K346" s="140"/>
      <c r="L346" s="138"/>
      <c r="M346" s="167"/>
      <c r="N346" s="140"/>
      <c r="O346" s="138"/>
      <c r="P346" s="138"/>
      <c r="Q346" s="138"/>
      <c r="R346" s="41"/>
      <c r="S346" s="3"/>
      <c r="T346" s="41"/>
      <c r="U346" s="3"/>
      <c r="V346" s="41"/>
      <c r="W346" s="3"/>
      <c r="X346" s="3"/>
      <c r="Y346" s="3"/>
      <c r="Z346" s="3"/>
      <c r="AA346" s="335"/>
      <c r="AB346" s="47"/>
    </row>
    <row r="347" spans="1:28" ht="13.5" customHeight="1">
      <c r="A347" s="1"/>
      <c r="B347" s="336"/>
      <c r="C347" s="4" t="str">
        <f aca="true" t="shared" si="77" ref="C347:C352">"CB – Income statement – "&amp;D347</f>
        <v>CB – Income statement – Net revenues</v>
      </c>
      <c r="D347" s="75" t="s">
        <v>1</v>
      </c>
      <c r="E347" s="83"/>
      <c r="F347" s="33"/>
      <c r="G347" s="145">
        <f aca="true" t="shared" si="78" ref="G347:H351">IF(ISERROR(G36+G125+G209+G286+G312+G332),"–",G36+G125+G209+G286+G312+G332)</f>
        <v>5740</v>
      </c>
      <c r="H347" s="145">
        <f t="shared" si="78"/>
        <v>5479</v>
      </c>
      <c r="I347" s="145">
        <f aca="true" t="shared" si="79" ref="I347:L351">IF(ISERROR(I36+I125+I209+I286+I312+I332),"–",I36+I125+I209+I286+I312+I332)</f>
        <v>5227</v>
      </c>
      <c r="J347" s="145">
        <f t="shared" si="79"/>
        <v>5340</v>
      </c>
      <c r="K347" s="145">
        <f>IF(ISERROR(K36+K125+K209+K286+K312+K332),"–",K36+K125+K209+K286+K312+K332)</f>
        <v>5839</v>
      </c>
      <c r="L347" s="145" t="str">
        <f t="shared" si="79"/>
        <v>–</v>
      </c>
      <c r="M347" s="142"/>
      <c r="N347" s="145">
        <f aca="true" t="shared" si="80" ref="N347:Q351">IF(ISERROR(N36+N125+N209+N286+N312+N332),"–",N36+N125+N209+N286+N312+N332)</f>
        <v>21786</v>
      </c>
      <c r="O347" s="145" t="str">
        <f t="shared" si="80"/>
        <v>–</v>
      </c>
      <c r="P347" s="145" t="str">
        <f t="shared" si="80"/>
        <v>–</v>
      </c>
      <c r="Q347" s="170" t="str">
        <f t="shared" si="80"/>
        <v>–</v>
      </c>
      <c r="R347" s="33"/>
      <c r="S347" s="45"/>
      <c r="T347" s="33"/>
      <c r="U347" s="4"/>
      <c r="V347" s="33"/>
      <c r="W347" s="5"/>
      <c r="X347" s="54"/>
      <c r="Y347" s="54"/>
      <c r="Z347" s="54"/>
      <c r="AA347" s="335"/>
      <c r="AB347" s="47"/>
    </row>
    <row r="348" spans="1:28" ht="13.5" customHeight="1">
      <c r="A348" s="10"/>
      <c r="B348" s="337"/>
      <c r="C348" s="4" t="str">
        <f t="shared" si="77"/>
        <v>CB – Income statement – Provision for credit losses</v>
      </c>
      <c r="D348" s="75" t="s">
        <v>5</v>
      </c>
      <c r="E348" s="83"/>
      <c r="F348" s="33"/>
      <c r="G348" s="145">
        <f t="shared" si="78"/>
        <v>29</v>
      </c>
      <c r="H348" s="145">
        <f t="shared" si="78"/>
        <v>69</v>
      </c>
      <c r="I348" s="145">
        <f t="shared" si="79"/>
        <v>40</v>
      </c>
      <c r="J348" s="145">
        <f t="shared" si="79"/>
        <v>40</v>
      </c>
      <c r="K348" s="145">
        <f>IF(ISERROR(K37+K126+K210+K287+K313+K333),"–",K37+K126+K210+K287+K313+K333)</f>
        <v>48</v>
      </c>
      <c r="L348" s="145" t="str">
        <f t="shared" si="79"/>
        <v>–</v>
      </c>
      <c r="M348" s="142"/>
      <c r="N348" s="145">
        <f t="shared" si="80"/>
        <v>178</v>
      </c>
      <c r="O348" s="145" t="str">
        <f t="shared" si="80"/>
        <v>–</v>
      </c>
      <c r="P348" s="145" t="str">
        <f t="shared" si="80"/>
        <v>–</v>
      </c>
      <c r="Q348" s="145" t="str">
        <f t="shared" si="80"/>
        <v>–</v>
      </c>
      <c r="R348" s="33"/>
      <c r="S348" s="45"/>
      <c r="T348" s="33"/>
      <c r="U348" s="4"/>
      <c r="V348" s="33"/>
      <c r="W348" s="11"/>
      <c r="X348" s="55"/>
      <c r="Y348" s="55"/>
      <c r="Z348" s="55"/>
      <c r="AA348" s="342"/>
      <c r="AB348" s="64"/>
    </row>
    <row r="349" spans="1:28" ht="13.5" customHeight="1">
      <c r="A349" s="1"/>
      <c r="B349" s="336"/>
      <c r="C349" s="4" t="str">
        <f t="shared" si="77"/>
        <v>CB – Income statement – Compensation and benefits</v>
      </c>
      <c r="D349" s="76" t="s">
        <v>6</v>
      </c>
      <c r="E349" s="84"/>
      <c r="F349" s="33"/>
      <c r="G349" s="170">
        <f t="shared" si="78"/>
        <v>2617</v>
      </c>
      <c r="H349" s="170">
        <f t="shared" si="78"/>
        <v>2501</v>
      </c>
      <c r="I349" s="170">
        <f t="shared" si="79"/>
        <v>2414</v>
      </c>
      <c r="J349" s="170">
        <f t="shared" si="79"/>
        <v>2503</v>
      </c>
      <c r="K349" s="170">
        <f>IF(ISERROR(K38+K127+K211+K288+K314+K334),"–",K38+K127+K211+K288+K314+K334)</f>
        <v>2473</v>
      </c>
      <c r="L349" s="170" t="str">
        <f t="shared" si="79"/>
        <v>–</v>
      </c>
      <c r="M349" s="142"/>
      <c r="N349" s="170">
        <f t="shared" si="80"/>
        <v>9845</v>
      </c>
      <c r="O349" s="170" t="str">
        <f t="shared" si="80"/>
        <v>–</v>
      </c>
      <c r="P349" s="170" t="str">
        <f t="shared" si="80"/>
        <v>–</v>
      </c>
      <c r="Q349" s="170" t="str">
        <f t="shared" si="80"/>
        <v>–</v>
      </c>
      <c r="R349" s="33"/>
      <c r="S349" s="45"/>
      <c r="T349" s="33"/>
      <c r="U349" s="4"/>
      <c r="V349" s="33"/>
      <c r="W349" s="9"/>
      <c r="X349" s="56"/>
      <c r="Y349" s="56"/>
      <c r="Z349" s="56"/>
      <c r="AA349" s="335"/>
      <c r="AB349" s="47"/>
    </row>
    <row r="350" spans="1:28" ht="13.5" customHeight="1">
      <c r="A350" s="1"/>
      <c r="B350" s="336"/>
      <c r="C350" s="4" t="str">
        <f t="shared" si="77"/>
        <v>CB – Income statement – Total other operating expenses</v>
      </c>
      <c r="D350" s="76" t="s">
        <v>137</v>
      </c>
      <c r="E350" s="84"/>
      <c r="F350" s="33"/>
      <c r="G350" s="170">
        <f t="shared" si="78"/>
        <v>1885</v>
      </c>
      <c r="H350" s="170">
        <f t="shared" si="78"/>
        <v>1764</v>
      </c>
      <c r="I350" s="170">
        <f t="shared" si="79"/>
        <v>1795</v>
      </c>
      <c r="J350" s="170">
        <f t="shared" si="79"/>
        <v>2201</v>
      </c>
      <c r="K350" s="170">
        <f>IF(ISERROR(K39+K128+K212+K289+K315+K335),"–",K39+K128+K212+K289+K315+K335)</f>
        <v>1855</v>
      </c>
      <c r="L350" s="170" t="str">
        <f t="shared" si="79"/>
        <v>–</v>
      </c>
      <c r="M350" s="142"/>
      <c r="N350" s="170">
        <f t="shared" si="80"/>
        <v>7835</v>
      </c>
      <c r="O350" s="170" t="str">
        <f t="shared" si="80"/>
        <v>–</v>
      </c>
      <c r="P350" s="170" t="str">
        <f t="shared" si="80"/>
        <v>–</v>
      </c>
      <c r="Q350" s="170" t="str">
        <f t="shared" si="80"/>
        <v>–</v>
      </c>
      <c r="R350" s="33"/>
      <c r="S350" s="45"/>
      <c r="T350" s="33"/>
      <c r="U350" s="4"/>
      <c r="V350" s="33"/>
      <c r="W350" s="9"/>
      <c r="X350" s="56"/>
      <c r="Y350" s="56"/>
      <c r="Z350" s="56"/>
      <c r="AA350" s="335"/>
      <c r="AB350" s="47"/>
    </row>
    <row r="351" spans="1:28" ht="13.5" customHeight="1">
      <c r="A351" s="1"/>
      <c r="B351" s="336"/>
      <c r="C351" s="4" t="str">
        <f t="shared" si="77"/>
        <v>CB – Income statement – Total operating expenses</v>
      </c>
      <c r="D351" s="75" t="s">
        <v>7</v>
      </c>
      <c r="E351" s="83"/>
      <c r="F351" s="33"/>
      <c r="G351" s="145">
        <f t="shared" si="78"/>
        <v>4502</v>
      </c>
      <c r="H351" s="145">
        <f t="shared" si="78"/>
        <v>4265</v>
      </c>
      <c r="I351" s="145">
        <f t="shared" si="79"/>
        <v>4209</v>
      </c>
      <c r="J351" s="145">
        <f t="shared" si="79"/>
        <v>4704</v>
      </c>
      <c r="K351" s="145">
        <f>IF(ISERROR(K40+K129+K213+K290+K316+K336),"–",K40+K129+K213+K290+K316+K336)</f>
        <v>4328</v>
      </c>
      <c r="L351" s="145" t="str">
        <f t="shared" si="79"/>
        <v>–</v>
      </c>
      <c r="M351" s="142"/>
      <c r="N351" s="145">
        <f t="shared" si="80"/>
        <v>17680</v>
      </c>
      <c r="O351" s="145" t="str">
        <f t="shared" si="80"/>
        <v>–</v>
      </c>
      <c r="P351" s="145" t="str">
        <f t="shared" si="80"/>
        <v>–</v>
      </c>
      <c r="Q351" s="145" t="str">
        <f t="shared" si="80"/>
        <v>–</v>
      </c>
      <c r="R351" s="33"/>
      <c r="S351" s="45"/>
      <c r="T351" s="33"/>
      <c r="U351" s="4"/>
      <c r="V351" s="33"/>
      <c r="W351" s="9"/>
      <c r="X351" s="56"/>
      <c r="Y351" s="56"/>
      <c r="Z351" s="56"/>
      <c r="AA351" s="335"/>
      <c r="AB351" s="47"/>
    </row>
    <row r="352" spans="1:28" ht="13.5" customHeight="1">
      <c r="A352" s="1"/>
      <c r="B352" s="336"/>
      <c r="C352" s="4" t="str">
        <f t="shared" si="77"/>
        <v>CB – Income statement – Income from continuing operations before taxes</v>
      </c>
      <c r="D352" s="75" t="s">
        <v>8</v>
      </c>
      <c r="E352" s="83"/>
      <c r="F352" s="33"/>
      <c r="G352" s="145">
        <f>IF(ISERROR(G347-G348-G351),"–",G347-G348-G351)</f>
        <v>1209</v>
      </c>
      <c r="H352" s="145">
        <f>IF(ISERROR(H347-H348-H351),"–",H347-H348-H351)</f>
        <v>1145</v>
      </c>
      <c r="I352" s="145">
        <f>IF(ISERROR(I347-I348-I351),"–",I347-I348-I351)</f>
        <v>978</v>
      </c>
      <c r="J352" s="145">
        <f>IF(ISERROR(J347-J348-J351),"–",J347-J348-J351)</f>
        <v>596</v>
      </c>
      <c r="K352" s="145">
        <f>IF(ISERROR(K347-K348-K351),"–",K347-K348-K351)</f>
        <v>1463</v>
      </c>
      <c r="L352" s="145" t="str">
        <f>IF(ISERROR(L347-L348-L351),"–",L347-L348-L351)</f>
        <v>–</v>
      </c>
      <c r="M352" s="142"/>
      <c r="N352" s="145">
        <f>IF(ISERROR(N347-N348-N351),"–",N347-N348-N351)</f>
        <v>3928</v>
      </c>
      <c r="O352" s="145" t="str">
        <f>IF(ISERROR(O347-O348-O351),"–",O347-O348-O351)</f>
        <v>–</v>
      </c>
      <c r="P352" s="145" t="str">
        <f>IF(ISERROR(P347-P348-P351),"–",P347-P348-P351)</f>
        <v>–</v>
      </c>
      <c r="Q352" s="145" t="str">
        <f>IF(ISERROR(Q347-Q348-Q351),"–",Q347-Q348-Q351)</f>
        <v>–</v>
      </c>
      <c r="R352" s="33"/>
      <c r="S352" s="45"/>
      <c r="T352" s="33"/>
      <c r="U352" s="4"/>
      <c r="V352" s="33"/>
      <c r="W352" s="9"/>
      <c r="X352" s="56"/>
      <c r="Y352" s="56"/>
      <c r="Z352" s="56"/>
      <c r="AA352" s="335"/>
      <c r="AB352" s="47"/>
    </row>
    <row r="353" spans="1:28" ht="14.25" customHeight="1">
      <c r="A353" s="1"/>
      <c r="B353" s="336"/>
      <c r="C353" s="6"/>
      <c r="D353" s="7"/>
      <c r="E353" s="7"/>
      <c r="F353" s="33"/>
      <c r="G353" s="149"/>
      <c r="H353" s="149"/>
      <c r="I353" s="149"/>
      <c r="J353" s="149"/>
      <c r="K353" s="149"/>
      <c r="L353" s="149"/>
      <c r="M353" s="142"/>
      <c r="N353" s="149"/>
      <c r="O353" s="149"/>
      <c r="P353" s="149"/>
      <c r="Q353" s="149"/>
      <c r="R353" s="33"/>
      <c r="S353" s="8"/>
      <c r="T353" s="33"/>
      <c r="U353" s="6"/>
      <c r="V353" s="33"/>
      <c r="W353" s="8"/>
      <c r="X353" s="8"/>
      <c r="Y353" s="8"/>
      <c r="Z353" s="8"/>
      <c r="AA353" s="335"/>
      <c r="AB353" s="47"/>
    </row>
    <row r="354" spans="1:28" ht="13.5" customHeight="1" hidden="1">
      <c r="A354" s="1"/>
      <c r="B354" s="336"/>
      <c r="C354" s="4" t="str">
        <f>"IBCM – Income statement – "&amp;D354</f>
        <v>IBCM – Income statement – Compensation ratio (%)</v>
      </c>
      <c r="D354" s="82" t="s">
        <v>9</v>
      </c>
      <c r="E354" s="91"/>
      <c r="F354" s="33"/>
      <c r="G354" s="151">
        <f>IF(ISERROR(G349/G347),"–",IF(ABS(G349/G347*100)&gt;NM,"–",G349/G347*100))</f>
        <v>45.59233449477352</v>
      </c>
      <c r="H354" s="151">
        <f>IF(ISERROR(H349/H347),"–",IF(ABS(H349/H347*100)&gt;NM,"–",H349/H347*100))</f>
        <v>45.64701587881</v>
      </c>
      <c r="I354" s="151">
        <f>IF(ISERROR(I349/I347),"–",IF(ABS(I349/I347*100)&gt;NM,"–",I349/I347*100))</f>
        <v>46.18327912760666</v>
      </c>
      <c r="J354" s="151">
        <f>IF(ISERROR(J349/J347),"–",IF(ABS(J349/J347*100)&gt;NM,"–",J349/J347*100))</f>
        <v>46.87265917602996</v>
      </c>
      <c r="K354" s="151">
        <f>IF(ISERROR(K349/K347),"–",IF(ABS(K349/K347*100)&gt;NM,"–",K349/K347*100))</f>
        <v>42.35314266141463</v>
      </c>
      <c r="L354" s="151" t="str">
        <f>IF(ISERROR(L349/L347),"–",IF(ABS(L349/L347*100)&gt;NM,"–",L349/L347*100))</f>
        <v>–</v>
      </c>
      <c r="M354" s="142"/>
      <c r="N354" s="151">
        <f>IF(ISERROR(N349/N347),"–",IF(ABS(N349/N347*100)&gt;NM,"–",N349/N347*100))</f>
        <v>45.18957128431103</v>
      </c>
      <c r="O354" s="151" t="str">
        <f>IF(ISERROR(O349/O347),"–",IF(ABS(O349/O347*100)&gt;NM,"–",O349/O347*100))</f>
        <v>–</v>
      </c>
      <c r="P354" s="151" t="str">
        <f>IF(ISERROR(P349/P347),"–",IF(ABS(P349/P347*100)&gt;NM,"–",P349/P347*100))</f>
        <v>–</v>
      </c>
      <c r="Q354" s="151" t="str">
        <f>IF(ISERROR(Q349/Q347),"–",IF(ABS(Q349/Q347*100)&gt;NM,"–",Q349/Q347*100))</f>
        <v>–</v>
      </c>
      <c r="R354" s="33"/>
      <c r="S354" s="45"/>
      <c r="T354" s="33"/>
      <c r="U354" s="4"/>
      <c r="V354" s="33"/>
      <c r="W354" s="12"/>
      <c r="X354" s="58"/>
      <c r="Y354" s="58"/>
      <c r="Z354" s="58"/>
      <c r="AA354" s="335"/>
      <c r="AB354" s="47"/>
    </row>
    <row r="355" spans="1:28" ht="13.5" customHeight="1" hidden="1">
      <c r="A355" s="1"/>
      <c r="B355" s="336"/>
      <c r="C355" s="4" t="str">
        <f>"IBCM – Income statement – "&amp;D355</f>
        <v>IBCM – Income statement – Non-compensation ratio (%)</v>
      </c>
      <c r="D355" s="82" t="s">
        <v>10</v>
      </c>
      <c r="E355" s="91"/>
      <c r="F355" s="33"/>
      <c r="G355" s="151">
        <f>IF(ISERROR(G350/G347),"–",IF(ABS(G350/G347*100)&gt;NM,"–",G350/G347*100))</f>
        <v>32.8397212543554</v>
      </c>
      <c r="H355" s="151">
        <f>IF(ISERROR(H350/H347),"–",IF(ABS(H350/H347*100)&gt;NM,"–",H350/H347*100))</f>
        <v>32.19565614163169</v>
      </c>
      <c r="I355" s="151">
        <f>IF(ISERROR(I350/I347),"–",IF(ABS(I350/I347*100)&gt;NM,"–",I350/I347*100))</f>
        <v>34.34092213506791</v>
      </c>
      <c r="J355" s="151">
        <f>IF(ISERROR(J350/J347),"–",IF(ABS(J350/J347*100)&gt;NM,"–",J350/J347*100))</f>
        <v>41.21722846441948</v>
      </c>
      <c r="K355" s="151">
        <f>IF(ISERROR(K350/K347),"–",IF(ABS(K350/K347*100)&gt;NM,"–",K350/K347*100))</f>
        <v>31.769138551121767</v>
      </c>
      <c r="L355" s="151" t="str">
        <f>IF(ISERROR(L350/L347),"–",IF(ABS(L350/L347*100)&gt;NM,"–",L350/L347*100))</f>
        <v>–</v>
      </c>
      <c r="M355" s="142"/>
      <c r="N355" s="151">
        <f>IF(ISERROR(N350/N347),"–",IF(ABS(N350/N347*100)&gt;NM,"–",N350/N347*100))</f>
        <v>35.963462774258694</v>
      </c>
      <c r="O355" s="151" t="str">
        <f>IF(ISERROR(O350/O347),"–",IF(ABS(O350/O347*100)&gt;NM,"–",O350/O347*100))</f>
        <v>–</v>
      </c>
      <c r="P355" s="151" t="str">
        <f>IF(ISERROR(P350/P347),"–",IF(ABS(P350/P347*100)&gt;NM,"–",P350/P347*100))</f>
        <v>–</v>
      </c>
      <c r="Q355" s="151" t="str">
        <f>IF(ISERROR(Q350/Q347),"–",IF(ABS(Q350/Q347*100)&gt;NM,"–",Q350/Q347*100))</f>
        <v>–</v>
      </c>
      <c r="R355" s="33"/>
      <c r="S355" s="45"/>
      <c r="T355" s="33"/>
      <c r="U355" s="4"/>
      <c r="V355" s="33"/>
      <c r="W355" s="12"/>
      <c r="X355" s="58"/>
      <c r="Y355" s="58"/>
      <c r="Z355" s="58"/>
      <c r="AA355" s="335"/>
      <c r="AB355" s="47"/>
    </row>
    <row r="356" spans="1:28" ht="13.5" customHeight="1">
      <c r="A356" s="1"/>
      <c r="B356" s="336"/>
      <c r="C356" s="4" t="str">
        <f>"CB – Income statement – "&amp;D356</f>
        <v>CB – Income statement – Cost / income ratio (%)</v>
      </c>
      <c r="D356" s="77" t="s">
        <v>11</v>
      </c>
      <c r="E356" s="85"/>
      <c r="F356" s="33"/>
      <c r="G356" s="151">
        <f>IF(ISERROR(G351/G347),"–",IF(ABS(G351/G347*100)&gt;NM,"–",G351/G347*100))</f>
        <v>78.43205574912892</v>
      </c>
      <c r="H356" s="151">
        <f>IF(ISERROR(H351/H347),"–",IF(ABS(H351/H347*100)&gt;NM,"–",H351/H347*100))</f>
        <v>77.84267202044168</v>
      </c>
      <c r="I356" s="151">
        <f>IF(ISERROR(I351/I347),"–",IF(ABS(I351/I347*100)&gt;NM,"–",I351/I347*100))</f>
        <v>80.52420126267458</v>
      </c>
      <c r="J356" s="151">
        <f>IF(ISERROR(J351/J347),"–",IF(ABS(J351/J347*100)&gt;NM,"–",J351/J347*100))</f>
        <v>88.08988764044943</v>
      </c>
      <c r="K356" s="151">
        <f>IF(ISERROR(K351/K347),"–",IF(ABS(K351/K347*100)&gt;NM,"–",K351/K347*100))</f>
        <v>74.1222812125364</v>
      </c>
      <c r="L356" s="151" t="str">
        <f>IF(ISERROR(L351/L347),"–",IF(ABS(L351/L347*100)&gt;NM,"–",L351/L347*100))</f>
        <v>–</v>
      </c>
      <c r="M356" s="142"/>
      <c r="N356" s="151">
        <f>IF(ISERROR(N351/N347),"–",IF(ABS(N351/N347*100)&gt;NM,"–",N351/N347*100))</f>
        <v>81.15303405856973</v>
      </c>
      <c r="O356" s="151" t="str">
        <f>IF(ISERROR(O351/O347),"–",IF(ABS(O351/O347*100)&gt;NM,"–",O351/O347*100))</f>
        <v>–</v>
      </c>
      <c r="P356" s="151" t="str">
        <f>IF(ISERROR(P351/P347),"–",IF(ABS(P351/P347*100)&gt;NM,"–",P351/P347*100))</f>
        <v>–</v>
      </c>
      <c r="Q356" s="151" t="str">
        <f>IF(ISERROR(Q351/Q347),"–",IF(ABS(Q351/Q347*100)&gt;NM,"–",Q351/Q347*100))</f>
        <v>–</v>
      </c>
      <c r="R356" s="33"/>
      <c r="S356" s="45"/>
      <c r="T356" s="33"/>
      <c r="U356" s="4"/>
      <c r="V356" s="33"/>
      <c r="W356" s="13"/>
      <c r="X356" s="59"/>
      <c r="Y356" s="59"/>
      <c r="Z356" s="59"/>
      <c r="AA356" s="335"/>
      <c r="AB356" s="47"/>
    </row>
    <row r="357" spans="1:28" ht="13.5" customHeight="1">
      <c r="A357" s="1"/>
      <c r="B357" s="336"/>
      <c r="C357" s="4" t="str">
        <f>"CB – Income statement – "&amp;D357</f>
        <v>CB – Income statement – Pre-tax income margin (%)</v>
      </c>
      <c r="D357" s="77" t="s">
        <v>12</v>
      </c>
      <c r="E357" s="85"/>
      <c r="F357" s="33"/>
      <c r="G357" s="151">
        <f>IF(ISERROR(G352/G347),"–",IF(ABS(G352/G347*100)&gt;NM,"–",G352/G347*100))</f>
        <v>21.062717770034844</v>
      </c>
      <c r="H357" s="151">
        <f>IF(ISERROR(H352/H347),"–",IF(ABS(H352/H347*100)&gt;NM,"–",H352/H347*100))</f>
        <v>20.897974082861836</v>
      </c>
      <c r="I357" s="151">
        <f>IF(ISERROR(I352/I347),"–",IF(ABS(I352/I347*100)&gt;NM,"–",I352/I347*100))</f>
        <v>18.710541419552325</v>
      </c>
      <c r="J357" s="151">
        <f>IF(ISERROR(J352/J347),"–",IF(ABS(J352/J347*100)&gt;NM,"–",J352/J347*100))</f>
        <v>11.161048689138577</v>
      </c>
      <c r="K357" s="151">
        <f>IF(ISERROR(K352/K347),"–",IF(ABS(K352/K347*100)&gt;NM,"–",K352/K347*100))</f>
        <v>25.055660215790375</v>
      </c>
      <c r="L357" s="151" t="str">
        <f>IF(ISERROR(L352/L347),"–",IF(ABS(L352/L347*100)&gt;NM,"–",L352/L347*100))</f>
        <v>–</v>
      </c>
      <c r="M357" s="142"/>
      <c r="N357" s="151">
        <f>IF(ISERROR(N352/N347),"–",IF(ABS(N352/N347*100)&gt;NM,"–",N352/N347*100))</f>
        <v>18.029927476360967</v>
      </c>
      <c r="O357" s="151" t="str">
        <f>IF(ISERROR(O352/O347),"–",IF(ABS(O352/O347*100)&gt;NM,"–",O352/O347*100))</f>
        <v>–</v>
      </c>
      <c r="P357" s="151" t="str">
        <f>IF(ISERROR(P352/P347),"–",IF(ABS(P352/P347*100)&gt;NM,"–",P352/P347*100))</f>
        <v>–</v>
      </c>
      <c r="Q357" s="151" t="str">
        <f>IF(ISERROR(Q352/Q347),"–",IF(ABS(Q352/Q347*100)&gt;NM,"–",Q352/Q347*100))</f>
        <v>–</v>
      </c>
      <c r="R357" s="33"/>
      <c r="S357" s="45"/>
      <c r="T357" s="33"/>
      <c r="U357" s="4"/>
      <c r="V357" s="40"/>
      <c r="W357" s="13"/>
      <c r="X357" s="59"/>
      <c r="Y357" s="59"/>
      <c r="Z357" s="59"/>
      <c r="AA357" s="335"/>
      <c r="AB357" s="47"/>
    </row>
    <row r="358" spans="1:28" ht="12.75" customHeight="1">
      <c r="A358" s="1"/>
      <c r="B358" s="336"/>
      <c r="C358" s="6"/>
      <c r="D358" s="7"/>
      <c r="E358" s="7"/>
      <c r="F358" s="33"/>
      <c r="G358" s="8"/>
      <c r="H358" s="8"/>
      <c r="I358" s="8"/>
      <c r="J358" s="8"/>
      <c r="K358" s="8"/>
      <c r="L358" s="8"/>
      <c r="M358" s="142"/>
      <c r="N358" s="8"/>
      <c r="O358" s="8"/>
      <c r="P358" s="8"/>
      <c r="Q358" s="8"/>
      <c r="R358" s="33"/>
      <c r="S358" s="8"/>
      <c r="T358" s="33"/>
      <c r="U358" s="2"/>
      <c r="V358" s="25"/>
      <c r="W358" s="2"/>
      <c r="X358" s="2"/>
      <c r="Y358" s="2"/>
      <c r="Z358" s="2"/>
      <c r="AA358" s="335"/>
      <c r="AB358" s="47"/>
    </row>
    <row r="359" spans="1:28" ht="13.5" customHeight="1">
      <c r="A359" s="1"/>
      <c r="B359" s="336"/>
      <c r="C359" s="2"/>
      <c r="D359" s="2"/>
      <c r="E359" s="2"/>
      <c r="F359" s="25"/>
      <c r="G359" s="137"/>
      <c r="H359" s="137"/>
      <c r="I359" s="137"/>
      <c r="J359" s="137"/>
      <c r="K359" s="137"/>
      <c r="L359" s="136"/>
      <c r="M359" s="159"/>
      <c r="N359" s="137"/>
      <c r="O359" s="136"/>
      <c r="P359" s="136"/>
      <c r="Q359" s="136"/>
      <c r="R359" s="25"/>
      <c r="S359" s="2"/>
      <c r="T359" s="25"/>
      <c r="U359" s="2"/>
      <c r="V359" s="25"/>
      <c r="W359" s="2"/>
      <c r="X359" s="2"/>
      <c r="Y359" s="2"/>
      <c r="Z359" s="2"/>
      <c r="AA359" s="335"/>
      <c r="AB359" s="47"/>
    </row>
    <row r="360" spans="1:28" ht="13.5" customHeight="1">
      <c r="A360" s="1"/>
      <c r="B360" s="336"/>
      <c r="C360" s="3"/>
      <c r="D360" s="3" t="s">
        <v>160</v>
      </c>
      <c r="E360" s="3"/>
      <c r="F360" s="26"/>
      <c r="G360" s="140"/>
      <c r="H360" s="140"/>
      <c r="I360" s="140"/>
      <c r="J360" s="140"/>
      <c r="K360" s="140"/>
      <c r="L360" s="138"/>
      <c r="M360" s="139"/>
      <c r="N360" s="140"/>
      <c r="O360" s="138"/>
      <c r="P360" s="138"/>
      <c r="Q360" s="138"/>
      <c r="R360" s="26"/>
      <c r="S360" s="3"/>
      <c r="T360" s="26"/>
      <c r="U360" s="3"/>
      <c r="V360" s="26"/>
      <c r="W360" s="3"/>
      <c r="X360" s="3"/>
      <c r="Y360" s="3"/>
      <c r="Z360" s="3"/>
      <c r="AA360" s="335"/>
      <c r="AB360" s="47"/>
    </row>
    <row r="361" spans="1:28" s="207" customFormat="1" ht="13.5" customHeight="1">
      <c r="A361" s="1"/>
      <c r="B361" s="336"/>
      <c r="C361" s="4" t="str">
        <f>"CB – Assets under management – "&amp;D361</f>
        <v>CB – Assets under management – Risk-weighted assets – look-through (CHF million)</v>
      </c>
      <c r="D361" s="291" t="s">
        <v>162</v>
      </c>
      <c r="E361" s="292"/>
      <c r="F361" s="30"/>
      <c r="G361" s="281">
        <f aca="true" t="shared" si="81" ref="G361:I362">IF(ISERROR(G50+G139+G223+G300+G326+G341),"–",G50+G139+G223+G300+G326+G341)</f>
        <v>222353</v>
      </c>
      <c r="H361" s="281">
        <f t="shared" si="81"/>
        <v>221236</v>
      </c>
      <c r="I361" s="281">
        <f t="shared" si="81"/>
        <v>229170</v>
      </c>
      <c r="J361" s="281">
        <f>IF(ISERROR(J50+J139+J223+J300+J326+J341),"–",J50+J139+J223+J300+J326+J341)</f>
        <v>238067</v>
      </c>
      <c r="K361" s="281">
        <f>IF(ISERROR(K50+K139+K223+K300+K326+K341),"–",K50+K139+K223+K300+K326+K341)</f>
        <v>248776</v>
      </c>
      <c r="L361" s="281" t="str">
        <f>IF(ISERROR(L50+L139+L223+L300+L326+L341),"–",L50+L139+L223+L300+L326+L341)</f>
        <v>–</v>
      </c>
      <c r="M361" s="468"/>
      <c r="N361" s="281">
        <f aca="true" t="shared" si="82" ref="N361:Q362">IF(ISERROR(N50+N139+N223+N300+N326+N341),"–",N50+N139+N223+N300+N326+N341)</f>
        <v>238067</v>
      </c>
      <c r="O361" s="281" t="str">
        <f t="shared" si="82"/>
        <v>–</v>
      </c>
      <c r="P361" s="281" t="str">
        <f t="shared" si="82"/>
        <v>–</v>
      </c>
      <c r="Q361" s="281" t="str">
        <f t="shared" si="82"/>
        <v>–</v>
      </c>
      <c r="R361" s="30"/>
      <c r="S361" s="45"/>
      <c r="T361" s="30"/>
      <c r="U361" s="237" t="s">
        <v>26</v>
      </c>
      <c r="V361" s="28"/>
      <c r="W361" s="238">
        <f>IF(L361="–",0,IF($U361="Positive Number",IF(OR(L361&lt;0,ISTEXT(L361),ISERROR(L361)),1,0),IF(OR(ISTEXT(L361),ISERROR(L361)),1,0)))</f>
        <v>0</v>
      </c>
      <c r="X361" s="239">
        <f>IF(O361="–",0,IF($U361="Positive Number",IF(OR(O361&lt;0,ISTEXT(O361),ISERROR(O361)),1,0),IF(OR(ISTEXT(O361),ISERROR(O361)),1,0)))</f>
        <v>0</v>
      </c>
      <c r="Y361" s="239">
        <f>IF(P361="–",0,IF($U361="Positive Number",IF(OR(P361&lt;0,ISTEXT(P361),ISERROR(P361)),1,0),IF(OR(ISTEXT(P361),ISERROR(P361)),1,0)))</f>
        <v>0</v>
      </c>
      <c r="Z361" s="239">
        <f>IF(Q361="–",0,IF($U361="Positive Number",IF(OR(Q361&lt;0,ISTEXT(Q361),ISERROR(Q361)),1,0),IF(OR(ISTEXT(Q361),ISERROR(Q361)),1,0)))</f>
        <v>0</v>
      </c>
      <c r="AA361" s="335"/>
      <c r="AB361" s="47"/>
    </row>
    <row r="362" spans="1:28" s="207" customFormat="1" ht="13.5" customHeight="1">
      <c r="A362" s="1"/>
      <c r="B362" s="336"/>
      <c r="C362" s="4" t="str">
        <f>"CB – Assets under management – "&amp;D362</f>
        <v>CB – Assets under management – Leverage exposure – look-through (CHF million)</v>
      </c>
      <c r="D362" s="78" t="s">
        <v>161</v>
      </c>
      <c r="E362" s="86"/>
      <c r="F362" s="30"/>
      <c r="G362" s="281">
        <f t="shared" si="81"/>
        <v>853193</v>
      </c>
      <c r="H362" s="281">
        <f t="shared" si="81"/>
        <v>834583</v>
      </c>
      <c r="I362" s="281">
        <f t="shared" si="81"/>
        <v>843582</v>
      </c>
      <c r="J362" s="281">
        <f>IF(ISERROR(J51+J140+J224+J301+J327+J342),"–",J51+J140+J224+J301+J327+J342)</f>
        <v>856591</v>
      </c>
      <c r="K362" s="281">
        <f>IF(ISERROR(K51+K140+K224+K301+K327+K342),"–",K51+K140+K224+K301+K327+K342)</f>
        <v>888903</v>
      </c>
      <c r="L362" s="281" t="str">
        <f>IF(ISERROR(L51+L140+L224+L301+L327+L342),"–",L51+L140+L224+L301+L327+L342)</f>
        <v>–</v>
      </c>
      <c r="M362" s="468"/>
      <c r="N362" s="281">
        <f t="shared" si="82"/>
        <v>856591</v>
      </c>
      <c r="O362" s="281" t="str">
        <f t="shared" si="82"/>
        <v>–</v>
      </c>
      <c r="P362" s="281" t="str">
        <f t="shared" si="82"/>
        <v>–</v>
      </c>
      <c r="Q362" s="281" t="str">
        <f t="shared" si="82"/>
        <v>–</v>
      </c>
      <c r="R362" s="30"/>
      <c r="S362" s="45"/>
      <c r="T362" s="425"/>
      <c r="U362" s="237"/>
      <c r="V362" s="30"/>
      <c r="W362" s="16"/>
      <c r="X362" s="61"/>
      <c r="Y362" s="61"/>
      <c r="Z362" s="61"/>
      <c r="AA362" s="335"/>
      <c r="AB362" s="47"/>
    </row>
    <row r="363" spans="1:28" ht="13.5" customHeight="1">
      <c r="A363" s="1"/>
      <c r="B363" s="338"/>
      <c r="C363" s="345"/>
      <c r="D363" s="346"/>
      <c r="E363" s="346"/>
      <c r="F363" s="346"/>
      <c r="G363" s="347"/>
      <c r="H363" s="347"/>
      <c r="I363" s="347"/>
      <c r="J363" s="347"/>
      <c r="K363" s="347"/>
      <c r="L363" s="347"/>
      <c r="M363" s="347"/>
      <c r="N363" s="347"/>
      <c r="O363" s="347"/>
      <c r="P363" s="347"/>
      <c r="Q363" s="347"/>
      <c r="R363" s="346"/>
      <c r="S363" s="346"/>
      <c r="T363" s="345"/>
      <c r="U363" s="24"/>
      <c r="V363" s="24"/>
      <c r="W363" s="24"/>
      <c r="X363" s="24"/>
      <c r="Y363" s="24"/>
      <c r="Z363" s="24"/>
      <c r="AA363" s="336"/>
      <c r="AB363" s="47"/>
    </row>
    <row r="364" spans="1:28" ht="27" customHeight="1">
      <c r="A364" s="1"/>
      <c r="B364" s="358"/>
      <c r="C364" s="363"/>
      <c r="D364" s="457" t="s">
        <v>146</v>
      </c>
      <c r="E364" s="364"/>
      <c r="F364" s="365"/>
      <c r="G364" s="366"/>
      <c r="H364" s="366"/>
      <c r="I364" s="366"/>
      <c r="J364" s="366"/>
      <c r="K364" s="366"/>
      <c r="L364" s="366"/>
      <c r="M364" s="366"/>
      <c r="N364" s="366"/>
      <c r="O364" s="366"/>
      <c r="P364" s="366"/>
      <c r="Q364" s="366"/>
      <c r="R364" s="365"/>
      <c r="S364" s="365"/>
      <c r="T364" s="365"/>
      <c r="U364" s="363"/>
      <c r="V364" s="365"/>
      <c r="W364" s="365"/>
      <c r="X364" s="365"/>
      <c r="Y364" s="365"/>
      <c r="Z364" s="365"/>
      <c r="AA364" s="367"/>
      <c r="AB364" s="47"/>
    </row>
    <row r="365" spans="1:28" ht="13.5" customHeight="1">
      <c r="A365" s="1"/>
      <c r="B365" s="359"/>
      <c r="C365" s="2"/>
      <c r="D365" s="2"/>
      <c r="E365" s="2"/>
      <c r="F365" s="2"/>
      <c r="G365" s="137"/>
      <c r="H365" s="137"/>
      <c r="I365" s="137"/>
      <c r="J365" s="137"/>
      <c r="K365" s="137"/>
      <c r="L365" s="136"/>
      <c r="M365" s="136"/>
      <c r="N365" s="137"/>
      <c r="O365" s="136"/>
      <c r="P365" s="136"/>
      <c r="Q365" s="136"/>
      <c r="R365" s="2"/>
      <c r="S365" s="2"/>
      <c r="T365" s="2"/>
      <c r="U365" s="2"/>
      <c r="V365" s="2"/>
      <c r="W365" s="2"/>
      <c r="X365" s="2"/>
      <c r="Y365" s="2"/>
      <c r="Z365" s="2"/>
      <c r="AA365" s="359"/>
      <c r="AB365" s="47"/>
    </row>
    <row r="366" spans="1:28" ht="12.75" customHeight="1">
      <c r="A366" s="1"/>
      <c r="B366" s="360"/>
      <c r="C366" s="3"/>
      <c r="D366" s="3" t="s">
        <v>0</v>
      </c>
      <c r="E366" s="3"/>
      <c r="F366" s="41"/>
      <c r="G366" s="140"/>
      <c r="H366" s="140"/>
      <c r="I366" s="140"/>
      <c r="J366" s="140"/>
      <c r="K366" s="140"/>
      <c r="L366" s="138"/>
      <c r="M366" s="167"/>
      <c r="N366" s="140"/>
      <c r="O366" s="138"/>
      <c r="P366" s="138"/>
      <c r="Q366" s="138"/>
      <c r="R366" s="41"/>
      <c r="S366" s="3"/>
      <c r="T366" s="41"/>
      <c r="U366" s="3"/>
      <c r="V366" s="41"/>
      <c r="W366" s="3"/>
      <c r="X366" s="3"/>
      <c r="Y366" s="3"/>
      <c r="Z366" s="3"/>
      <c r="AA366" s="359"/>
      <c r="AB366" s="47"/>
    </row>
    <row r="367" spans="1:28" ht="13.5" customHeight="1">
      <c r="A367" s="1"/>
      <c r="B367" s="360"/>
      <c r="C367" s="4" t="str">
        <f aca="true" t="shared" si="83" ref="C367:C374">"SRU – Income statement – "&amp;D367</f>
        <v>SRU – Income statement – Net revenues from noncontrolling interests without SEI</v>
      </c>
      <c r="D367" s="218" t="s">
        <v>193</v>
      </c>
      <c r="E367" s="289"/>
      <c r="F367" s="33"/>
      <c r="G367" s="276">
        <v>1</v>
      </c>
      <c r="H367" s="276">
        <v>6</v>
      </c>
      <c r="I367" s="276">
        <v>9</v>
      </c>
      <c r="J367" s="276">
        <v>29</v>
      </c>
      <c r="K367" s="276">
        <v>-2</v>
      </c>
      <c r="L367" s="141">
        <f>IF(L$27="No","–",IF(INDEX(CS_CONS_LINK_ARRAY,MATCH($C367,CS_CONS_LINK_COLUMN,0),MATCH(L$1,CS_CONS_LINK_ROW,0))="","",INDEX(CS_CONS_LINK_ARRAY,MATCH($C367,CS_CONS_LINK_COLUMN,0),MATCH(L$1,CS_CONS_LINK_ROW,0))))</f>
      </c>
      <c r="M367" s="142"/>
      <c r="N367" s="143">
        <v>45</v>
      </c>
      <c r="O367" s="141">
        <f aca="true" t="shared" si="84" ref="O367:Q372">IF(O$27="No","–",IF(INDEX(CS_CONS_LINK_ARRAY,MATCH($C367,CS_CONS_LINK_COLUMN,0),MATCH(O$1,CS_CONS_LINK_ROW,0))="","",INDEX(CS_CONS_LINK_ARRAY,MATCH($C367,CS_CONS_LINK_COLUMN,0),MATCH(O$1,CS_CONS_LINK_ROW,0))))</f>
      </c>
      <c r="P367" s="141">
        <f t="shared" si="84"/>
      </c>
      <c r="Q367" s="141">
        <f t="shared" si="84"/>
      </c>
      <c r="R367" s="33"/>
      <c r="S367" s="46"/>
      <c r="T367" s="33"/>
      <c r="U367" s="38" t="s">
        <v>26</v>
      </c>
      <c r="V367" s="27"/>
      <c r="W367" s="37">
        <f>IF(L367="–",0,IF($U367="Positive Number",IF(OR(L367&lt;0,ISTEXT(L367),ISERROR(L367)),1,0),IF(OR(ISTEXT(L367),ISERROR(L367)),1,0)))</f>
        <v>1</v>
      </c>
      <c r="X367" s="57">
        <f aca="true" t="shared" si="85" ref="X367:Z372">IF(O367="–",0,IF($U367="Positive Number",IF(OR(O367&lt;0,ISTEXT(O367),ISERROR(O367)),1,0),IF(OR(ISTEXT(O367),ISERROR(O367)),1,0)))</f>
        <v>1</v>
      </c>
      <c r="Y367" s="57">
        <f t="shared" si="85"/>
        <v>1</v>
      </c>
      <c r="Z367" s="57">
        <f t="shared" si="85"/>
        <v>1</v>
      </c>
      <c r="AA367" s="359"/>
      <c r="AB367" s="47"/>
    </row>
    <row r="368" spans="1:28" ht="13.5" customHeight="1">
      <c r="A368" s="1"/>
      <c r="B368" s="360"/>
      <c r="C368" s="4" t="str">
        <f t="shared" si="83"/>
        <v>SRU – Income statement – Other revenues</v>
      </c>
      <c r="D368" s="218" t="s">
        <v>136</v>
      </c>
      <c r="E368" s="289"/>
      <c r="F368" s="33"/>
      <c r="G368" s="276">
        <v>-207</v>
      </c>
      <c r="H368" s="276">
        <f>-274-6</f>
        <v>-280</v>
      </c>
      <c r="I368" s="276">
        <f>-255-9</f>
        <v>-264</v>
      </c>
      <c r="J368" s="276">
        <f>-151-29</f>
        <v>-180</v>
      </c>
      <c r="K368" s="276">
        <f>-203--2</f>
        <v>-201</v>
      </c>
      <c r="L368" s="141">
        <f>IF(L$27="No","–",IF(INDEX(CS_CONS_LINK_ARRAY,MATCH($C368,CS_CONS_LINK_COLUMN,0),MATCH(L$1,CS_CONS_LINK_ROW,0))="","",INDEX(CS_CONS_LINK_ARRAY,MATCH($C368,CS_CONS_LINK_COLUMN,0),MATCH(L$1,CS_CONS_LINK_ROW,0))))</f>
      </c>
      <c r="M368" s="142"/>
      <c r="N368" s="276">
        <f>-886-45</f>
        <v>-931</v>
      </c>
      <c r="O368" s="141">
        <f t="shared" si="84"/>
      </c>
      <c r="P368" s="141">
        <f t="shared" si="84"/>
      </c>
      <c r="Q368" s="141">
        <f t="shared" si="84"/>
      </c>
      <c r="R368" s="33"/>
      <c r="S368" s="46"/>
      <c r="T368" s="33"/>
      <c r="U368" s="38"/>
      <c r="V368" s="27"/>
      <c r="W368" s="37"/>
      <c r="X368" s="57"/>
      <c r="Y368" s="57"/>
      <c r="Z368" s="57"/>
      <c r="AA368" s="359"/>
      <c r="AB368" s="47"/>
    </row>
    <row r="369" spans="1:28" ht="13.5" customHeight="1">
      <c r="A369" s="1"/>
      <c r="B369" s="360"/>
      <c r="C369" s="4" t="str">
        <f t="shared" si="83"/>
        <v>SRU – Income statement – Net revenues</v>
      </c>
      <c r="D369" s="288" t="s">
        <v>1</v>
      </c>
      <c r="E369" s="289"/>
      <c r="F369" s="33"/>
      <c r="G369" s="277">
        <f>IF(ISERROR(G367+G368),"–",G367+G368)</f>
        <v>-206</v>
      </c>
      <c r="H369" s="277">
        <f>IF(ISERROR(H367+H368),"–",H367+H368)</f>
        <v>-274</v>
      </c>
      <c r="I369" s="277">
        <f>IF(ISERROR(I367+I368),"–",I367+I368)</f>
        <v>-255</v>
      </c>
      <c r="J369" s="277">
        <f>IF(ISERROR(J367+J368),"–",J367+J368)</f>
        <v>-151</v>
      </c>
      <c r="K369" s="277">
        <f>IF(ISERROR(K367+K368),"–",K367+K368)</f>
        <v>-203</v>
      </c>
      <c r="L369" s="277" t="str">
        <f>IF(ISERROR(L367+L368),"–",L367+L368)</f>
        <v>–</v>
      </c>
      <c r="M369" s="142"/>
      <c r="N369" s="277">
        <f>IF(ISERROR(N367+N368),"–",N367+N368)</f>
        <v>-886</v>
      </c>
      <c r="O369" s="277" t="str">
        <f>IF(ISERROR(O367+O368),"–",O367+O368)</f>
        <v>–</v>
      </c>
      <c r="P369" s="277" t="str">
        <f>IF(ISERROR(P367+P368),"–",P367+P368)</f>
        <v>–</v>
      </c>
      <c r="Q369" s="277" t="str">
        <f>IF(ISERROR(Q367+Q368),"–",Q367+Q368)</f>
        <v>–</v>
      </c>
      <c r="R369" s="33"/>
      <c r="S369" s="46"/>
      <c r="T369" s="33"/>
      <c r="U369" s="38"/>
      <c r="V369" s="27"/>
      <c r="W369" s="37"/>
      <c r="X369" s="57"/>
      <c r="Y369" s="57"/>
      <c r="Z369" s="57"/>
      <c r="AA369" s="359"/>
      <c r="AB369" s="47"/>
    </row>
    <row r="370" spans="1:28" ht="13.5" customHeight="1">
      <c r="A370" s="10"/>
      <c r="B370" s="361"/>
      <c r="C370" s="4" t="str">
        <f t="shared" si="83"/>
        <v>SRU – Income statement – Provision for credit losses</v>
      </c>
      <c r="D370" s="288" t="s">
        <v>5</v>
      </c>
      <c r="E370" s="289"/>
      <c r="F370" s="33"/>
      <c r="G370" s="277">
        <v>24</v>
      </c>
      <c r="H370" s="277">
        <v>13</v>
      </c>
      <c r="I370" s="277">
        <v>-8</v>
      </c>
      <c r="J370" s="277">
        <v>3</v>
      </c>
      <c r="K370" s="277">
        <v>0</v>
      </c>
      <c r="L370" s="147">
        <f>IF(L$27="No","–",IF(INDEX(CS_CONS_LINK_ARRAY,MATCH($C370,CS_CONS_LINK_COLUMN,0),MATCH(L$1,CS_CONS_LINK_ROW,0))="","",INDEX(CS_CONS_LINK_ARRAY,MATCH($C370,CS_CONS_LINK_COLUMN,0),MATCH(L$1,CS_CONS_LINK_ROW,0))))</f>
      </c>
      <c r="M370" s="142"/>
      <c r="N370" s="148">
        <v>32</v>
      </c>
      <c r="O370" s="147">
        <f t="shared" si="84"/>
      </c>
      <c r="P370" s="147">
        <f t="shared" si="84"/>
      </c>
      <c r="Q370" s="147">
        <f t="shared" si="84"/>
      </c>
      <c r="R370" s="33"/>
      <c r="S370" s="45"/>
      <c r="T370" s="33"/>
      <c r="U370" s="38" t="s">
        <v>26</v>
      </c>
      <c r="V370" s="27"/>
      <c r="W370" s="37">
        <f>IF(L370="–",0,IF($U370="Positive Number",IF(OR(L370&lt;0,ISTEXT(L370),ISERROR(L370)),1,0),IF(OR(ISTEXT(L370),ISERROR(L370)),1,0)))</f>
        <v>1</v>
      </c>
      <c r="X370" s="57">
        <f t="shared" si="85"/>
        <v>1</v>
      </c>
      <c r="Y370" s="57">
        <f t="shared" si="85"/>
        <v>1</v>
      </c>
      <c r="Z370" s="57">
        <f t="shared" si="85"/>
        <v>1</v>
      </c>
      <c r="AA370" s="368"/>
      <c r="AB370" s="64"/>
    </row>
    <row r="371" spans="1:28" ht="13.5" customHeight="1">
      <c r="A371" s="1"/>
      <c r="B371" s="360"/>
      <c r="C371" s="4" t="str">
        <f t="shared" si="83"/>
        <v>SRU – Income statement – Compensation and benefits</v>
      </c>
      <c r="D371" s="218" t="s">
        <v>6</v>
      </c>
      <c r="E371" s="290"/>
      <c r="F371" s="33"/>
      <c r="G371" s="276">
        <v>88</v>
      </c>
      <c r="H371" s="276">
        <v>94</v>
      </c>
      <c r="I371" s="276">
        <v>85</v>
      </c>
      <c r="J371" s="276">
        <v>65</v>
      </c>
      <c r="K371" s="276">
        <v>65</v>
      </c>
      <c r="L371" s="141">
        <f>IF(L$27="No","–",IF(INDEX(CS_CONS_LINK_ARRAY,MATCH($C371,CS_CONS_LINK_COLUMN,0),MATCH(L$1,CS_CONS_LINK_ROW,0))="","",INDEX(CS_CONS_LINK_ARRAY,MATCH($C371,CS_CONS_LINK_COLUMN,0),MATCH(L$1,CS_CONS_LINK_ROW,0))))</f>
      </c>
      <c r="M371" s="142"/>
      <c r="N371" s="242">
        <v>332</v>
      </c>
      <c r="O371" s="141">
        <f t="shared" si="84"/>
      </c>
      <c r="P371" s="141">
        <f t="shared" si="84"/>
      </c>
      <c r="Q371" s="141">
        <f t="shared" si="84"/>
      </c>
      <c r="R371" s="33"/>
      <c r="S371" s="45"/>
      <c r="T371" s="33"/>
      <c r="U371" s="38" t="s">
        <v>26</v>
      </c>
      <c r="V371" s="28"/>
      <c r="W371" s="37">
        <f>IF(L371="–",0,IF($U371="Positive Number",IF(OR(L371&lt;0,ISTEXT(L371),ISERROR(L371)),1,0),IF(OR(ISTEXT(L371),ISERROR(L371)),1,0)))</f>
        <v>1</v>
      </c>
      <c r="X371" s="57">
        <f t="shared" si="85"/>
        <v>1</v>
      </c>
      <c r="Y371" s="57">
        <f t="shared" si="85"/>
        <v>1</v>
      </c>
      <c r="Z371" s="57">
        <f t="shared" si="85"/>
        <v>1</v>
      </c>
      <c r="AA371" s="359"/>
      <c r="AB371" s="47"/>
    </row>
    <row r="372" spans="1:28" ht="13.5" customHeight="1">
      <c r="A372" s="1"/>
      <c r="B372" s="360"/>
      <c r="C372" s="4" t="str">
        <f t="shared" si="83"/>
        <v>SRU – Income statement – Total other operating expenses</v>
      </c>
      <c r="D372" s="218" t="s">
        <v>137</v>
      </c>
      <c r="E372" s="290"/>
      <c r="F372" s="33"/>
      <c r="G372" s="276">
        <v>221</v>
      </c>
      <c r="H372" s="276">
        <v>182</v>
      </c>
      <c r="I372" s="276">
        <v>246</v>
      </c>
      <c r="J372" s="276">
        <v>236</v>
      </c>
      <c r="K372" s="276">
        <v>141</v>
      </c>
      <c r="L372" s="141">
        <f>IF(L$27="No","–",IF(INDEX(CS_CONS_LINK_ARRAY,MATCH($C372,CS_CONS_LINK_COLUMN,0),MATCH(L$1,CS_CONS_LINK_ROW,0))="","",INDEX(CS_CONS_LINK_ARRAY,MATCH($C372,CS_CONS_LINK_COLUMN,0),MATCH(L$1,CS_CONS_LINK_ROW,0))))</f>
      </c>
      <c r="M372" s="142"/>
      <c r="N372" s="242">
        <v>885</v>
      </c>
      <c r="O372" s="141">
        <f t="shared" si="84"/>
      </c>
      <c r="P372" s="141">
        <f t="shared" si="84"/>
      </c>
      <c r="Q372" s="141">
        <f t="shared" si="84"/>
      </c>
      <c r="R372" s="33"/>
      <c r="S372" s="45"/>
      <c r="T372" s="33"/>
      <c r="U372" s="38" t="s">
        <v>26</v>
      </c>
      <c r="V372" s="28"/>
      <c r="W372" s="37">
        <f>IF(L372="–",0,IF($U372="Positive Number",IF(OR(L372&lt;0,ISTEXT(L372),ISERROR(L372)),1,0),IF(OR(ISTEXT(L372),ISERROR(L372)),1,0)))</f>
        <v>1</v>
      </c>
      <c r="X372" s="57">
        <f t="shared" si="85"/>
        <v>1</v>
      </c>
      <c r="Y372" s="57">
        <f t="shared" si="85"/>
        <v>1</v>
      </c>
      <c r="Z372" s="57">
        <f t="shared" si="85"/>
        <v>1</v>
      </c>
      <c r="AA372" s="359"/>
      <c r="AB372" s="47"/>
    </row>
    <row r="373" spans="1:28" ht="13.5" customHeight="1">
      <c r="A373" s="1"/>
      <c r="B373" s="360"/>
      <c r="C373" s="4" t="str">
        <f t="shared" si="83"/>
        <v>SRU – Income statement – Total operating expenses</v>
      </c>
      <c r="D373" s="75" t="s">
        <v>7</v>
      </c>
      <c r="E373" s="83"/>
      <c r="F373" s="33"/>
      <c r="G373" s="146">
        <f>IF(ISERROR(G371+G372),"–",G371+G372)</f>
        <v>309</v>
      </c>
      <c r="H373" s="146">
        <f>IF(ISERROR(H371+H372),"–",H371+H372)</f>
        <v>276</v>
      </c>
      <c r="I373" s="146">
        <f>IF(ISERROR(I371+I372),"–",I371+I372)</f>
        <v>331</v>
      </c>
      <c r="J373" s="146">
        <f>IF(ISERROR(J371+J372),"–",J371+J372)</f>
        <v>301</v>
      </c>
      <c r="K373" s="146">
        <f>IF(ISERROR(K371+K372),"–",K371+K372)</f>
        <v>206</v>
      </c>
      <c r="L373" s="146" t="str">
        <f>IF(ISERROR(L371+L372),"–",L371+L372)</f>
        <v>–</v>
      </c>
      <c r="M373" s="142"/>
      <c r="N373" s="146">
        <f>IF(ISERROR(N371+N372),"–",N371+N372)</f>
        <v>1217</v>
      </c>
      <c r="O373" s="146" t="str">
        <f>IF(ISERROR(O371+O372),"–",O371+O372)</f>
        <v>–</v>
      </c>
      <c r="P373" s="146" t="str">
        <f>IF(ISERROR(P371+P372),"–",P371+P372)</f>
        <v>–</v>
      </c>
      <c r="Q373" s="146" t="str">
        <f>IF(ISERROR(Q371+Q372),"–",Q371+Q372)</f>
        <v>–</v>
      </c>
      <c r="R373" s="33"/>
      <c r="S373" s="8"/>
      <c r="T373" s="33"/>
      <c r="U373" s="4"/>
      <c r="V373" s="33"/>
      <c r="W373" s="5"/>
      <c r="X373" s="54"/>
      <c r="Y373" s="54"/>
      <c r="Z373" s="54"/>
      <c r="AA373" s="359"/>
      <c r="AB373" s="47"/>
    </row>
    <row r="374" spans="1:28" ht="13.5" customHeight="1">
      <c r="A374" s="1"/>
      <c r="B374" s="360"/>
      <c r="C374" s="4" t="str">
        <f t="shared" si="83"/>
        <v>SRU – Income statement – Income from continuing operations before taxes</v>
      </c>
      <c r="D374" s="75" t="s">
        <v>8</v>
      </c>
      <c r="E374" s="83"/>
      <c r="F374" s="33"/>
      <c r="G374" s="145">
        <f>IF(ISERROR(G369-G370-G373),"–",G369-G370-G373)</f>
        <v>-539</v>
      </c>
      <c r="H374" s="145">
        <f>IF(ISERROR(H369-H370-H373),"–",H369-H370-H373)</f>
        <v>-563</v>
      </c>
      <c r="I374" s="145">
        <f>IF(ISERROR(I369-I370-I373),"–",I369-I370-I373)</f>
        <v>-578</v>
      </c>
      <c r="J374" s="145">
        <f>IF(ISERROR(J369-J370-J373),"–",J369-J370-J373)</f>
        <v>-455</v>
      </c>
      <c r="K374" s="145">
        <f>IF(ISERROR(K369-K370-K373),"–",K369-K370-K373)</f>
        <v>-409</v>
      </c>
      <c r="L374" s="145" t="str">
        <f>IF(ISERROR(L369-L370-L373),"–",L369-L370-L373)</f>
        <v>–</v>
      </c>
      <c r="M374" s="142"/>
      <c r="N374" s="145">
        <f>IF(ISERROR(N369-N370-N373),"–",N369-N370-N373)</f>
        <v>-2135</v>
      </c>
      <c r="O374" s="145" t="str">
        <f>IF(ISERROR(O369-O370-O373),"–",O369-O370-O373)</f>
        <v>–</v>
      </c>
      <c r="P374" s="145" t="str">
        <f>IF(ISERROR(P369-P370-P373),"–",P369-P370-P373)</f>
        <v>–</v>
      </c>
      <c r="Q374" s="145" t="str">
        <f>IF(ISERROR(Q369-Q370-Q373),"–",Q369-Q370-Q373)</f>
        <v>–</v>
      </c>
      <c r="R374" s="33"/>
      <c r="S374" s="8"/>
      <c r="T374" s="33"/>
      <c r="U374" s="4"/>
      <c r="V374" s="40"/>
      <c r="W374" s="5"/>
      <c r="X374" s="54"/>
      <c r="Y374" s="54"/>
      <c r="Z374" s="54"/>
      <c r="AA374" s="359"/>
      <c r="AB374" s="47"/>
    </row>
    <row r="375" spans="1:28" ht="12.75" customHeight="1">
      <c r="A375" s="1"/>
      <c r="B375" s="360"/>
      <c r="C375" s="6"/>
      <c r="D375" s="7"/>
      <c r="E375" s="7"/>
      <c r="F375" s="33"/>
      <c r="G375" s="8"/>
      <c r="H375" s="8"/>
      <c r="I375" s="8"/>
      <c r="J375" s="8"/>
      <c r="K375" s="8"/>
      <c r="L375" s="8"/>
      <c r="M375" s="142"/>
      <c r="N375" s="8"/>
      <c r="O375" s="8"/>
      <c r="P375" s="8"/>
      <c r="Q375" s="8"/>
      <c r="R375" s="33"/>
      <c r="S375" s="8"/>
      <c r="T375" s="33"/>
      <c r="U375" s="2"/>
      <c r="V375" s="25"/>
      <c r="W375" s="2"/>
      <c r="X375" s="2"/>
      <c r="Y375" s="2"/>
      <c r="Z375" s="2"/>
      <c r="AA375" s="359"/>
      <c r="AB375" s="47"/>
    </row>
    <row r="376" spans="1:28" ht="13.5" customHeight="1">
      <c r="A376" s="1"/>
      <c r="B376" s="360"/>
      <c r="C376" s="2"/>
      <c r="D376" s="2"/>
      <c r="E376" s="2"/>
      <c r="F376" s="25"/>
      <c r="G376" s="137"/>
      <c r="H376" s="137"/>
      <c r="I376" s="137"/>
      <c r="J376" s="137"/>
      <c r="K376" s="137"/>
      <c r="L376" s="136"/>
      <c r="M376" s="159"/>
      <c r="N376" s="137"/>
      <c r="O376" s="136"/>
      <c r="P376" s="136"/>
      <c r="Q376" s="136"/>
      <c r="R376" s="25"/>
      <c r="S376" s="2"/>
      <c r="T376" s="25"/>
      <c r="U376" s="2"/>
      <c r="V376" s="25"/>
      <c r="W376" s="2"/>
      <c r="X376" s="2"/>
      <c r="Y376" s="2"/>
      <c r="Z376" s="2"/>
      <c r="AA376" s="359"/>
      <c r="AB376" s="47"/>
    </row>
    <row r="377" spans="1:28" ht="13.5" customHeight="1">
      <c r="A377" s="1"/>
      <c r="B377" s="360"/>
      <c r="C377" s="3"/>
      <c r="D377" s="3" t="s">
        <v>160</v>
      </c>
      <c r="E377" s="3"/>
      <c r="F377" s="26"/>
      <c r="G377" s="140"/>
      <c r="H377" s="140"/>
      <c r="I377" s="140"/>
      <c r="J377" s="140"/>
      <c r="K377" s="140"/>
      <c r="L377" s="138"/>
      <c r="M377" s="139"/>
      <c r="N377" s="140"/>
      <c r="O377" s="138"/>
      <c r="P377" s="138"/>
      <c r="Q377" s="138"/>
      <c r="R377" s="26"/>
      <c r="S377" s="3"/>
      <c r="T377" s="26"/>
      <c r="U377" s="3"/>
      <c r="V377" s="26"/>
      <c r="W377" s="3"/>
      <c r="X377" s="3"/>
      <c r="Y377" s="3"/>
      <c r="Z377" s="3"/>
      <c r="AA377" s="359"/>
      <c r="AB377" s="47"/>
    </row>
    <row r="378" spans="1:28" s="203" customFormat="1" ht="13.5" customHeight="1">
      <c r="A378" s="10"/>
      <c r="B378" s="360"/>
      <c r="C378" s="4" t="str">
        <f>"SRU – Assets under management – "&amp;D378</f>
        <v>SRU – Assets under management – Risk-weighted assets – look-through (CHF million)</v>
      </c>
      <c r="D378" s="291" t="s">
        <v>162</v>
      </c>
      <c r="E378" s="292"/>
      <c r="F378" s="30"/>
      <c r="G378" s="281">
        <v>41384</v>
      </c>
      <c r="H378" s="281">
        <v>38101</v>
      </c>
      <c r="I378" s="281">
        <v>35842</v>
      </c>
      <c r="J378" s="281">
        <v>33613</v>
      </c>
      <c r="K378" s="281">
        <v>22239</v>
      </c>
      <c r="L378" s="147">
        <f>IF(L$27="No","–",IF(INDEX(CS_CONS_LINK_ARRAY,MATCH($C378,CS_CONS_LINK_COLUMN,0),MATCH(L$1,CS_CONS_LINK_ROW,0))="","",INDEX(CS_CONS_LINK_ARRAY,MATCH($C378,CS_CONS_LINK_COLUMN,0),MATCH(L$1,CS_CONS_LINK_ROW,0))))</f>
      </c>
      <c r="M378" s="468"/>
      <c r="N378" s="170">
        <v>33613</v>
      </c>
      <c r="O378" s="147">
        <f aca="true" t="shared" si="86" ref="O378:Q379">IF(O$27="No","–",IF(INDEX(CS_CONS_LINK_ARRAY,MATCH($C378,CS_CONS_LINK_COLUMN,0),MATCH(O$1,CS_CONS_LINK_ROW,0))="","",INDEX(CS_CONS_LINK_ARRAY,MATCH($C378,CS_CONS_LINK_COLUMN,0),MATCH(O$1,CS_CONS_LINK_ROW,0))))</f>
      </c>
      <c r="P378" s="147">
        <f t="shared" si="86"/>
      </c>
      <c r="Q378" s="147">
        <f t="shared" si="86"/>
      </c>
      <c r="R378" s="31"/>
      <c r="S378" s="202"/>
      <c r="T378" s="31"/>
      <c r="U378" s="38" t="s">
        <v>26</v>
      </c>
      <c r="V378" s="27"/>
      <c r="W378" s="37">
        <f>IF(L378="–",0,IF($U378="Positive Number",IF(OR(L378&lt;0,ISTEXT(L378),ISERROR(L378)),1,0),IF(OR(ISTEXT(L378),ISERROR(L378)),1,0)))</f>
        <v>1</v>
      </c>
      <c r="X378" s="57">
        <f>IF(O378="–",0,IF($U378="Positive Number",IF(OR(O378&lt;0,ISTEXT(O378),ISERROR(O378)),1,0),IF(OR(ISTEXT(O378),ISERROR(O378)),1,0)))</f>
        <v>1</v>
      </c>
      <c r="Y378" s="57">
        <f>IF(P378="–",0,IF($U378="Positive Number",IF(OR(P378&lt;0,ISTEXT(P378),ISERROR(P378)),1,0),IF(OR(ISTEXT(P378),ISERROR(P378)),1,0)))</f>
        <v>1</v>
      </c>
      <c r="Z378" s="57">
        <f>IF(Q378="–",0,IF($U378="Positive Number",IF(OR(Q378&lt;0,ISTEXT(Q378),ISERROR(Q378)),1,0),IF(OR(ISTEXT(Q378),ISERROR(Q378)),1,0)))</f>
        <v>1</v>
      </c>
      <c r="AA378" s="359"/>
      <c r="AB378" s="64"/>
    </row>
    <row r="379" spans="1:28" ht="13.5" customHeight="1">
      <c r="A379" s="1"/>
      <c r="B379" s="360"/>
      <c r="C379" s="4" t="str">
        <f>"SRU – Assets under management – "&amp;D379</f>
        <v>SRU – Assets under management – Leverage exposure – look-through (CHF million)</v>
      </c>
      <c r="D379" s="78" t="s">
        <v>161</v>
      </c>
      <c r="E379" s="86"/>
      <c r="F379" s="30"/>
      <c r="G379" s="170">
        <v>82718</v>
      </c>
      <c r="H379" s="170">
        <v>71611</v>
      </c>
      <c r="I379" s="170">
        <v>65385</v>
      </c>
      <c r="J379" s="170">
        <v>59934</v>
      </c>
      <c r="K379" s="170">
        <v>43168</v>
      </c>
      <c r="L379" s="147">
        <f>IF(L$27="No","–",IF(INDEX(CS_CONS_LINK_ARRAY,MATCH($C379,CS_CONS_LINK_COLUMN,0),MATCH(L$1,CS_CONS_LINK_ROW,0))="","",INDEX(CS_CONS_LINK_ARRAY,MATCH($C379,CS_CONS_LINK_COLUMN,0),MATCH(L$1,CS_CONS_LINK_ROW,0))))</f>
      </c>
      <c r="M379" s="468"/>
      <c r="N379" s="170">
        <v>59934</v>
      </c>
      <c r="O379" s="147">
        <f t="shared" si="86"/>
      </c>
      <c r="P379" s="147">
        <f t="shared" si="86"/>
      </c>
      <c r="Q379" s="147">
        <f t="shared" si="86"/>
      </c>
      <c r="R379" s="31"/>
      <c r="S379" s="202"/>
      <c r="T379" s="425"/>
      <c r="U379" s="38"/>
      <c r="V379" s="30"/>
      <c r="W379" s="16"/>
      <c r="X379" s="61"/>
      <c r="Y379" s="61"/>
      <c r="Z379" s="61"/>
      <c r="AA379" s="359"/>
      <c r="AB379" s="47"/>
    </row>
    <row r="380" spans="1:28" ht="13.5" customHeight="1">
      <c r="A380" s="1"/>
      <c r="B380" s="362"/>
      <c r="C380" s="370"/>
      <c r="D380" s="371"/>
      <c r="E380" s="371"/>
      <c r="F380" s="365"/>
      <c r="G380" s="366"/>
      <c r="H380" s="366"/>
      <c r="I380" s="366"/>
      <c r="J380" s="366"/>
      <c r="K380" s="366"/>
      <c r="L380" s="366"/>
      <c r="M380" s="366"/>
      <c r="N380" s="366"/>
      <c r="O380" s="366"/>
      <c r="P380" s="366"/>
      <c r="Q380" s="366"/>
      <c r="R380" s="365"/>
      <c r="S380" s="365"/>
      <c r="T380" s="372"/>
      <c r="U380" s="101"/>
      <c r="V380" s="19"/>
      <c r="W380" s="19"/>
      <c r="X380" s="19"/>
      <c r="Y380" s="19"/>
      <c r="Z380" s="19"/>
      <c r="AA380" s="369"/>
      <c r="AB380" s="47"/>
    </row>
    <row r="381" spans="1:28" ht="27" customHeight="1">
      <c r="A381" s="1"/>
      <c r="B381" s="307"/>
      <c r="C381" s="348"/>
      <c r="D381" s="458" t="s">
        <v>21</v>
      </c>
      <c r="E381" s="349"/>
      <c r="F381" s="350"/>
      <c r="G381" s="351"/>
      <c r="H381" s="351"/>
      <c r="I381" s="351"/>
      <c r="J381" s="351"/>
      <c r="K381" s="351"/>
      <c r="L381" s="351"/>
      <c r="M381" s="351"/>
      <c r="N381" s="351"/>
      <c r="O381" s="351"/>
      <c r="P381" s="351"/>
      <c r="Q381" s="351"/>
      <c r="R381" s="350"/>
      <c r="S381" s="350"/>
      <c r="T381" s="350"/>
      <c r="U381" s="348"/>
      <c r="V381" s="350"/>
      <c r="W381" s="350"/>
      <c r="X381" s="350"/>
      <c r="Y381" s="350"/>
      <c r="Z381" s="350"/>
      <c r="AA381" s="352"/>
      <c r="AB381" s="47"/>
    </row>
    <row r="382" spans="1:28" ht="13.5" customHeight="1">
      <c r="A382" s="1"/>
      <c r="B382" s="308"/>
      <c r="C382" s="2"/>
      <c r="D382" s="2"/>
      <c r="E382" s="2"/>
      <c r="F382" s="2"/>
      <c r="G382" s="137"/>
      <c r="H382" s="137"/>
      <c r="I382" s="137"/>
      <c r="J382" s="137"/>
      <c r="K382" s="137"/>
      <c r="L382" s="136"/>
      <c r="M382" s="136"/>
      <c r="N382" s="137"/>
      <c r="O382" s="136"/>
      <c r="P382" s="136"/>
      <c r="Q382" s="136"/>
      <c r="R382" s="2"/>
      <c r="S382" s="2"/>
      <c r="T382" s="2"/>
      <c r="U382" s="2"/>
      <c r="V382" s="2"/>
      <c r="W382" s="2"/>
      <c r="X382" s="2"/>
      <c r="Y382" s="2"/>
      <c r="Z382" s="2"/>
      <c r="AA382" s="308"/>
      <c r="AB382" s="47"/>
    </row>
    <row r="383" spans="1:28" ht="13.5" customHeight="1">
      <c r="A383" s="1"/>
      <c r="B383" s="309"/>
      <c r="C383" s="3"/>
      <c r="D383" s="3" t="s">
        <v>0</v>
      </c>
      <c r="E383" s="3"/>
      <c r="F383" s="41"/>
      <c r="G383" s="140"/>
      <c r="H383" s="140"/>
      <c r="I383" s="140"/>
      <c r="J383" s="140"/>
      <c r="K383" s="140"/>
      <c r="L383" s="138"/>
      <c r="M383" s="167"/>
      <c r="N383" s="140"/>
      <c r="O383" s="138"/>
      <c r="P383" s="138"/>
      <c r="Q383" s="138"/>
      <c r="R383" s="41"/>
      <c r="S383" s="3"/>
      <c r="T383" s="41"/>
      <c r="U383" s="3"/>
      <c r="V383" s="41"/>
      <c r="W383" s="3"/>
      <c r="X383" s="3"/>
      <c r="Y383" s="3"/>
      <c r="Z383" s="3"/>
      <c r="AA383" s="308"/>
      <c r="AB383" s="47"/>
    </row>
    <row r="384" spans="1:28" ht="13.5" customHeight="1">
      <c r="A384" s="1"/>
      <c r="B384" s="309"/>
      <c r="C384" s="4" t="str">
        <f aca="true" t="shared" si="87" ref="C384:C393">"CS – Income statement – "&amp;D384</f>
        <v>CS – Income statement – Net revenues</v>
      </c>
      <c r="D384" s="75" t="s">
        <v>1</v>
      </c>
      <c r="E384" s="83"/>
      <c r="F384" s="33"/>
      <c r="G384" s="145">
        <f aca="true" t="shared" si="88" ref="G384:H388">IF(ISERROR(G347+G369),"–",G347+G369)</f>
        <v>5534</v>
      </c>
      <c r="H384" s="145">
        <f t="shared" si="88"/>
        <v>5205</v>
      </c>
      <c r="I384" s="145">
        <f aca="true" t="shared" si="89" ref="I384:L388">IF(ISERROR(I347+I369),"–",I347+I369)</f>
        <v>4972</v>
      </c>
      <c r="J384" s="145">
        <f t="shared" si="89"/>
        <v>5189</v>
      </c>
      <c r="K384" s="145">
        <f>IF(ISERROR(K347+K369),"–",K347+K369)</f>
        <v>5636</v>
      </c>
      <c r="L384" s="145" t="str">
        <f t="shared" si="89"/>
        <v>–</v>
      </c>
      <c r="M384" s="142"/>
      <c r="N384" s="145">
        <f aca="true" t="shared" si="90" ref="N384:Q388">IF(ISERROR(N347+N369),"–",N347+N369)</f>
        <v>20900</v>
      </c>
      <c r="O384" s="145" t="str">
        <f t="shared" si="90"/>
        <v>–</v>
      </c>
      <c r="P384" s="145" t="str">
        <f t="shared" si="90"/>
        <v>–</v>
      </c>
      <c r="Q384" s="145" t="str">
        <f t="shared" si="90"/>
        <v>–</v>
      </c>
      <c r="R384" s="33"/>
      <c r="S384" s="45"/>
      <c r="T384" s="33"/>
      <c r="U384" s="4"/>
      <c r="V384" s="33"/>
      <c r="W384" s="5"/>
      <c r="X384" s="54"/>
      <c r="Y384" s="54"/>
      <c r="Z384" s="54"/>
      <c r="AA384" s="308"/>
      <c r="AB384" s="47"/>
    </row>
    <row r="385" spans="1:28" ht="13.5" customHeight="1">
      <c r="A385" s="10"/>
      <c r="B385" s="310"/>
      <c r="C385" s="4" t="str">
        <f t="shared" si="87"/>
        <v>CS – Income statement – Provision for credit losses</v>
      </c>
      <c r="D385" s="75" t="s">
        <v>5</v>
      </c>
      <c r="E385" s="83"/>
      <c r="F385" s="33"/>
      <c r="G385" s="145">
        <f t="shared" si="88"/>
        <v>53</v>
      </c>
      <c r="H385" s="145">
        <f t="shared" si="88"/>
        <v>82</v>
      </c>
      <c r="I385" s="145">
        <f t="shared" si="89"/>
        <v>32</v>
      </c>
      <c r="J385" s="145">
        <f t="shared" si="89"/>
        <v>43</v>
      </c>
      <c r="K385" s="145">
        <f>IF(ISERROR(K348+K370),"–",K348+K370)</f>
        <v>48</v>
      </c>
      <c r="L385" s="145" t="str">
        <f t="shared" si="89"/>
        <v>–</v>
      </c>
      <c r="M385" s="142"/>
      <c r="N385" s="145">
        <f t="shared" si="90"/>
        <v>210</v>
      </c>
      <c r="O385" s="145" t="str">
        <f t="shared" si="90"/>
        <v>–</v>
      </c>
      <c r="P385" s="145" t="str">
        <f t="shared" si="90"/>
        <v>–</v>
      </c>
      <c r="Q385" s="145" t="str">
        <f t="shared" si="90"/>
        <v>–</v>
      </c>
      <c r="R385" s="33"/>
      <c r="S385" s="45"/>
      <c r="T385" s="33"/>
      <c r="U385" s="4"/>
      <c r="V385" s="33"/>
      <c r="W385" s="11"/>
      <c r="X385" s="55"/>
      <c r="Y385" s="55"/>
      <c r="Z385" s="55"/>
      <c r="AA385" s="353"/>
      <c r="AB385" s="64"/>
    </row>
    <row r="386" spans="1:28" ht="13.5" customHeight="1">
      <c r="A386" s="1"/>
      <c r="B386" s="309"/>
      <c r="C386" s="4" t="str">
        <f t="shared" si="87"/>
        <v>CS – Income statement – Compensation and benefits</v>
      </c>
      <c r="D386" s="76" t="s">
        <v>6</v>
      </c>
      <c r="E386" s="84"/>
      <c r="F386" s="33"/>
      <c r="G386" s="170">
        <f t="shared" si="88"/>
        <v>2705</v>
      </c>
      <c r="H386" s="170">
        <f t="shared" si="88"/>
        <v>2595</v>
      </c>
      <c r="I386" s="170">
        <f t="shared" si="89"/>
        <v>2499</v>
      </c>
      <c r="J386" s="170">
        <f t="shared" si="89"/>
        <v>2568</v>
      </c>
      <c r="K386" s="170">
        <f>IF(ISERROR(K349+K371),"–",K349+K371)</f>
        <v>2538</v>
      </c>
      <c r="L386" s="170" t="str">
        <f t="shared" si="89"/>
        <v>–</v>
      </c>
      <c r="M386" s="142"/>
      <c r="N386" s="170">
        <f t="shared" si="90"/>
        <v>10177</v>
      </c>
      <c r="O386" s="170" t="str">
        <f t="shared" si="90"/>
        <v>–</v>
      </c>
      <c r="P386" s="170" t="str">
        <f t="shared" si="90"/>
        <v>–</v>
      </c>
      <c r="Q386" s="170" t="str">
        <f t="shared" si="90"/>
        <v>–</v>
      </c>
      <c r="R386" s="33"/>
      <c r="S386" s="45"/>
      <c r="T386" s="33"/>
      <c r="U386" s="4"/>
      <c r="V386" s="33"/>
      <c r="W386" s="9"/>
      <c r="X386" s="56"/>
      <c r="Y386" s="56"/>
      <c r="Z386" s="56"/>
      <c r="AA386" s="308"/>
      <c r="AB386" s="47"/>
    </row>
    <row r="387" spans="1:28" ht="13.5" customHeight="1">
      <c r="A387" s="1"/>
      <c r="B387" s="309"/>
      <c r="C387" s="4" t="str">
        <f t="shared" si="87"/>
        <v>CS – Income statement – Total other operating expenses</v>
      </c>
      <c r="D387" s="76" t="s">
        <v>137</v>
      </c>
      <c r="E387" s="84"/>
      <c r="F387" s="33"/>
      <c r="G387" s="170">
        <f t="shared" si="88"/>
        <v>2106</v>
      </c>
      <c r="H387" s="170">
        <f t="shared" si="88"/>
        <v>1946</v>
      </c>
      <c r="I387" s="170">
        <f t="shared" si="89"/>
        <v>2041</v>
      </c>
      <c r="J387" s="170">
        <f t="shared" si="89"/>
        <v>2437</v>
      </c>
      <c r="K387" s="170">
        <f>IF(ISERROR(K350+K372),"–",K350+K372)</f>
        <v>1996</v>
      </c>
      <c r="L387" s="170" t="str">
        <f t="shared" si="89"/>
        <v>–</v>
      </c>
      <c r="M387" s="142"/>
      <c r="N387" s="170">
        <f t="shared" si="90"/>
        <v>8720</v>
      </c>
      <c r="O387" s="170" t="str">
        <f t="shared" si="90"/>
        <v>–</v>
      </c>
      <c r="P387" s="170" t="str">
        <f t="shared" si="90"/>
        <v>–</v>
      </c>
      <c r="Q387" s="170" t="str">
        <f t="shared" si="90"/>
        <v>–</v>
      </c>
      <c r="R387" s="33"/>
      <c r="S387" s="45"/>
      <c r="T387" s="33"/>
      <c r="U387" s="4"/>
      <c r="V387" s="33"/>
      <c r="W387" s="9"/>
      <c r="X387" s="56"/>
      <c r="Y387" s="56"/>
      <c r="Z387" s="56"/>
      <c r="AA387" s="308"/>
      <c r="AB387" s="47"/>
    </row>
    <row r="388" spans="1:28" ht="13.5" customHeight="1">
      <c r="A388" s="1"/>
      <c r="B388" s="309"/>
      <c r="C388" s="4" t="str">
        <f t="shared" si="87"/>
        <v>CS – Income statement – Total operating expenses</v>
      </c>
      <c r="D388" s="75" t="s">
        <v>7</v>
      </c>
      <c r="E388" s="83"/>
      <c r="F388" s="33"/>
      <c r="G388" s="146">
        <f t="shared" si="88"/>
        <v>4811</v>
      </c>
      <c r="H388" s="146">
        <f t="shared" si="88"/>
        <v>4541</v>
      </c>
      <c r="I388" s="146">
        <f t="shared" si="89"/>
        <v>4540</v>
      </c>
      <c r="J388" s="146">
        <f t="shared" si="89"/>
        <v>5005</v>
      </c>
      <c r="K388" s="146">
        <f>IF(ISERROR(K351+K373),"–",K351+K373)</f>
        <v>4534</v>
      </c>
      <c r="L388" s="146" t="str">
        <f t="shared" si="89"/>
        <v>–</v>
      </c>
      <c r="M388" s="142"/>
      <c r="N388" s="146">
        <f t="shared" si="90"/>
        <v>18897</v>
      </c>
      <c r="O388" s="146" t="str">
        <f t="shared" si="90"/>
        <v>–</v>
      </c>
      <c r="P388" s="146" t="str">
        <f t="shared" si="90"/>
        <v>–</v>
      </c>
      <c r="Q388" s="146" t="str">
        <f t="shared" si="90"/>
        <v>–</v>
      </c>
      <c r="R388" s="33"/>
      <c r="S388" s="45"/>
      <c r="T388" s="33"/>
      <c r="U388" s="4"/>
      <c r="V388" s="33"/>
      <c r="W388" s="5"/>
      <c r="X388" s="54"/>
      <c r="Y388" s="54"/>
      <c r="Z388" s="54"/>
      <c r="AA388" s="308"/>
      <c r="AB388" s="47"/>
    </row>
    <row r="389" spans="1:28" ht="13.5" customHeight="1">
      <c r="A389" s="1"/>
      <c r="B389" s="309"/>
      <c r="C389" s="4" t="str">
        <f t="shared" si="87"/>
        <v>CS – Income statement – Income from continuing operations before taxes</v>
      </c>
      <c r="D389" s="75" t="s">
        <v>8</v>
      </c>
      <c r="E389" s="83"/>
      <c r="F389" s="33"/>
      <c r="G389" s="145">
        <f>IF(ISERROR(G384-G385-G388),"–",G384-G385-G388)</f>
        <v>670</v>
      </c>
      <c r="H389" s="145">
        <f>IF(ISERROR(H384-H385-H388),"–",H384-H385-H388)</f>
        <v>582</v>
      </c>
      <c r="I389" s="145">
        <f>IF(ISERROR(I384-I385-I388),"–",I384-I385-I388)</f>
        <v>400</v>
      </c>
      <c r="J389" s="145">
        <f>IF(ISERROR(J384-J385-J388),"–",J384-J385-J388)</f>
        <v>141</v>
      </c>
      <c r="K389" s="145">
        <f>IF(ISERROR(K384-K385-K388),"–",K384-K385-K388)</f>
        <v>1054</v>
      </c>
      <c r="L389" s="145" t="str">
        <f>IF(ISERROR(L384-L385-L388),"–",L384-L385-L388)</f>
        <v>–</v>
      </c>
      <c r="M389" s="142"/>
      <c r="N389" s="145">
        <f>IF(ISERROR(N384-N385-N388),"–",N384-N385-N388)</f>
        <v>1793</v>
      </c>
      <c r="O389" s="145" t="str">
        <f>IF(ISERROR(O384-O385-O388),"–",O384-O385-O388)</f>
        <v>–</v>
      </c>
      <c r="P389" s="145" t="str">
        <f>IF(ISERROR(P384-P385-P388),"–",P384-P385-P388)</f>
        <v>–</v>
      </c>
      <c r="Q389" s="145" t="str">
        <f>IF(ISERROR(Q384-Q385-Q388),"–",Q384-Q385-Q388)</f>
        <v>–</v>
      </c>
      <c r="R389" s="33"/>
      <c r="S389" s="45"/>
      <c r="T389" s="33"/>
      <c r="U389" s="4"/>
      <c r="V389" s="33"/>
      <c r="W389" s="5"/>
      <c r="X389" s="54"/>
      <c r="Y389" s="54"/>
      <c r="Z389" s="54"/>
      <c r="AA389" s="308"/>
      <c r="AB389" s="47"/>
    </row>
    <row r="390" spans="1:28" ht="13.5" customHeight="1">
      <c r="A390" s="1"/>
      <c r="B390" s="309"/>
      <c r="C390" s="4" t="str">
        <f t="shared" si="87"/>
        <v>CS – Income statement – Income tax expense</v>
      </c>
      <c r="D390" s="76" t="s">
        <v>81</v>
      </c>
      <c r="E390" s="84"/>
      <c r="F390" s="33"/>
      <c r="G390" s="281">
        <v>78</v>
      </c>
      <c r="H390" s="281">
        <v>276</v>
      </c>
      <c r="I390" s="281">
        <v>153</v>
      </c>
      <c r="J390" s="281">
        <v>2234</v>
      </c>
      <c r="K390" s="281">
        <v>362</v>
      </c>
      <c r="L390" s="141">
        <f>IF(L$27="No","–",IF(INDEX(CS_CONS_LINK_ARRAY,MATCH($C390,CS_CONS_LINK_COLUMN,0),MATCH(L$1,CS_CONS_LINK_ROW,0))="","",INDEX(CS_CONS_LINK_ARRAY,MATCH($C390,CS_CONS_LINK_COLUMN,0),MATCH(L$1,CS_CONS_LINK_ROW,0))))</f>
      </c>
      <c r="M390" s="142"/>
      <c r="N390" s="281">
        <v>2741</v>
      </c>
      <c r="O390" s="141">
        <f>IF(O$27="No","–",IF(INDEX(CS_CONS_LINK_ARRAY,MATCH($C390,CS_CONS_LINK_COLUMN,0),MATCH(O$1,CS_CONS_LINK_ROW,0))="","",INDEX(CS_CONS_LINK_ARRAY,MATCH($C390,CS_CONS_LINK_COLUMN,0),MATCH(O$1,CS_CONS_LINK_ROW,0))))</f>
      </c>
      <c r="P390" s="141">
        <f>IF(P$27="No","–",IF(INDEX(CS_CONS_LINK_ARRAY,MATCH($C390,CS_CONS_LINK_COLUMN,0),MATCH(P$1,CS_CONS_LINK_ROW,0))="","",INDEX(CS_CONS_LINK_ARRAY,MATCH($C390,CS_CONS_LINK_COLUMN,0),MATCH(P$1,CS_CONS_LINK_ROW,0))))</f>
      </c>
      <c r="Q390" s="141">
        <f>IF(Q$27="No","–",IF(INDEX(CS_CONS_LINK_ARRAY,MATCH($C390,CS_CONS_LINK_COLUMN,0),MATCH(Q$1,CS_CONS_LINK_ROW,0))="","",INDEX(CS_CONS_LINK_ARRAY,MATCH($C390,CS_CONS_LINK_COLUMN,0),MATCH(Q$1,CS_CONS_LINK_ROW,0))))</f>
      </c>
      <c r="R390" s="33"/>
      <c r="S390" s="45"/>
      <c r="T390" s="33"/>
      <c r="U390" s="38" t="s">
        <v>26</v>
      </c>
      <c r="V390" s="33"/>
      <c r="W390" s="37">
        <f>IF(L390="–",0,IF($U390="Positive Number",IF(OR(L390&lt;0,ISTEXT(L390),ISERROR(L390)),1,0),IF(OR(ISTEXT(L390),ISERROR(L390)),1,0)))</f>
        <v>1</v>
      </c>
      <c r="X390" s="57">
        <f>IF(O390="–",0,IF($U390="Positive Number",IF(OR(O390&lt;0,ISTEXT(O390),ISERROR(O390)),1,0),IF(OR(ISTEXT(O390),ISERROR(O390)),1,0)))</f>
        <v>1</v>
      </c>
      <c r="Y390" s="57">
        <f>IF(P390="–",0,IF($U390="Positive Number",IF(OR(P390&lt;0,ISTEXT(P390),ISERROR(P390)),1,0),IF(OR(ISTEXT(P390),ISERROR(P390)),1,0)))</f>
        <v>1</v>
      </c>
      <c r="Z390" s="57">
        <f>IF(Q390="–",0,IF($U390="Positive Number",IF(OR(Q390&lt;0,ISTEXT(Q390),ISERROR(Q390)),1,0),IF(OR(ISTEXT(Q390),ISERROR(Q390)),1,0)))</f>
        <v>1</v>
      </c>
      <c r="AA390" s="308"/>
      <c r="AB390" s="47"/>
    </row>
    <row r="391" spans="1:28" ht="13.5" customHeight="1">
      <c r="A391" s="1"/>
      <c r="B391" s="309"/>
      <c r="C391" s="4" t="str">
        <f t="shared" si="87"/>
        <v>CS – Income statement – Income from continuing operations</v>
      </c>
      <c r="D391" s="75" t="s">
        <v>22</v>
      </c>
      <c r="E391" s="83"/>
      <c r="F391" s="33"/>
      <c r="G391" s="145">
        <f>IF(ISERROR(G389-G390),"–",G389-G390)</f>
        <v>592</v>
      </c>
      <c r="H391" s="145">
        <f>IF(ISERROR(H389-H390),"–",H389-H390)</f>
        <v>306</v>
      </c>
      <c r="I391" s="145">
        <f>IF(ISERROR(I389-I390),"–",I389-I390)</f>
        <v>247</v>
      </c>
      <c r="J391" s="145">
        <f>IF(ISERROR(J389-J390),"–",J389-J390)</f>
        <v>-2093</v>
      </c>
      <c r="K391" s="145">
        <f>IF(ISERROR(K389-K390),"–",K389-K390)</f>
        <v>692</v>
      </c>
      <c r="L391" s="145" t="str">
        <f>IF(ISERROR(L389-L390),"–",L389-L390)</f>
        <v>–</v>
      </c>
      <c r="M391" s="142"/>
      <c r="N391" s="145">
        <f>IF(ISERROR(N389-N390),"–",N389-N390)</f>
        <v>-948</v>
      </c>
      <c r="O391" s="145" t="str">
        <f>IF(ISERROR(O389-O390),"–",O389-O390)</f>
        <v>–</v>
      </c>
      <c r="P391" s="145" t="str">
        <f>IF(ISERROR(P389-P390),"–",P389-P390)</f>
        <v>–</v>
      </c>
      <c r="Q391" s="145" t="str">
        <f>IF(ISERROR(Q389-Q390),"–",Q389-Q390)</f>
        <v>–</v>
      </c>
      <c r="R391" s="33"/>
      <c r="S391" s="45"/>
      <c r="T391" s="33"/>
      <c r="U391" s="4"/>
      <c r="V391" s="33"/>
      <c r="W391" s="5"/>
      <c r="X391" s="54"/>
      <c r="Y391" s="54"/>
      <c r="Z391" s="54"/>
      <c r="AA391" s="308"/>
      <c r="AB391" s="47"/>
    </row>
    <row r="392" spans="1:28" ht="13.5" customHeight="1">
      <c r="A392" s="1"/>
      <c r="B392" s="309"/>
      <c r="C392" s="4" t="str">
        <f t="shared" si="87"/>
        <v>CS – Income statement – Income from discontinued operations, net of tax</v>
      </c>
      <c r="D392" s="76" t="s">
        <v>64</v>
      </c>
      <c r="E392" s="84"/>
      <c r="F392" s="33"/>
      <c r="G392" s="281">
        <v>0</v>
      </c>
      <c r="H392" s="281">
        <v>0</v>
      </c>
      <c r="I392" s="281">
        <v>0</v>
      </c>
      <c r="J392" s="281">
        <v>0</v>
      </c>
      <c r="K392" s="281">
        <v>0</v>
      </c>
      <c r="L392" s="141">
        <f>IF(L$27="No","–",IF(INDEX(CS_CONS_LINK_ARRAY,MATCH($C392,CS_CONS_LINK_COLUMN,0),MATCH(L$1,CS_CONS_LINK_ROW,0))="","",INDEX(CS_CONS_LINK_ARRAY,MATCH($C392,CS_CONS_LINK_COLUMN,0),MATCH(L$1,CS_CONS_LINK_ROW,0))))</f>
      </c>
      <c r="M392" s="142"/>
      <c r="N392" s="281">
        <v>0</v>
      </c>
      <c r="O392" s="141">
        <f>IF(O$27="No","–",IF(INDEX(CS_CONS_LINK_ARRAY,MATCH($C392,CS_CONS_LINK_COLUMN,0),MATCH(O$1,CS_CONS_LINK_ROW,0))="","",INDEX(CS_CONS_LINK_ARRAY,MATCH($C392,CS_CONS_LINK_COLUMN,0),MATCH(O$1,CS_CONS_LINK_ROW,0))))</f>
      </c>
      <c r="P392" s="141">
        <f>IF(P$27="No","–",IF(INDEX(CS_CONS_LINK_ARRAY,MATCH($C392,CS_CONS_LINK_COLUMN,0),MATCH(P$1,CS_CONS_LINK_ROW,0))="","",INDEX(CS_CONS_LINK_ARRAY,MATCH($C392,CS_CONS_LINK_COLUMN,0),MATCH(P$1,CS_CONS_LINK_ROW,0))))</f>
      </c>
      <c r="Q392" s="141">
        <f>IF(Q$27="No","–",IF(INDEX(CS_CONS_LINK_ARRAY,MATCH($C392,CS_CONS_LINK_COLUMN,0),MATCH(Q$1,CS_CONS_LINK_ROW,0))="","",INDEX(CS_CONS_LINK_ARRAY,MATCH($C392,CS_CONS_LINK_COLUMN,0),MATCH(Q$1,CS_CONS_LINK_ROW,0))))</f>
      </c>
      <c r="R392" s="33"/>
      <c r="S392" s="46"/>
      <c r="T392" s="33"/>
      <c r="U392" s="38" t="s">
        <v>26</v>
      </c>
      <c r="V392" s="33"/>
      <c r="W392" s="37">
        <f>IF(L392="–",0,IF($U392="Positive Number",IF(OR(L392&lt;0,ISTEXT(L392),ISERROR(L392)),1,0),IF(OR(ISTEXT(L392),ISERROR(L392)),1,0)))</f>
        <v>1</v>
      </c>
      <c r="X392" s="57">
        <f>IF(O392="–",0,IF($U392="Positive Number",IF(OR(O392&lt;0,ISTEXT(O392),ISERROR(O392)),1,0),IF(OR(ISTEXT(O392),ISERROR(O392)),1,0)))</f>
        <v>1</v>
      </c>
      <c r="Y392" s="57">
        <f>IF(P392="–",0,IF($U392="Positive Number",IF(OR(P392&lt;0,ISTEXT(P392),ISERROR(P392)),1,0),IF(OR(ISTEXT(P392),ISERROR(P392)),1,0)))</f>
        <v>1</v>
      </c>
      <c r="Z392" s="57">
        <f>IF(Q392="–",0,IF($U392="Positive Number",IF(OR(Q392&lt;0,ISTEXT(Q392),ISERROR(Q392)),1,0),IF(OR(ISTEXT(Q392),ISERROR(Q392)),1,0)))</f>
        <v>1</v>
      </c>
      <c r="AA392" s="308"/>
      <c r="AB392" s="47"/>
    </row>
    <row r="393" spans="1:28" ht="13.5" customHeight="1">
      <c r="A393" s="1"/>
      <c r="B393" s="309"/>
      <c r="C393" s="4" t="str">
        <f t="shared" si="87"/>
        <v>CS – Income statement – Net income</v>
      </c>
      <c r="D393" s="75" t="s">
        <v>23</v>
      </c>
      <c r="E393" s="83"/>
      <c r="F393" s="33"/>
      <c r="G393" s="145">
        <f>IF(ISERROR(G391+G392),"–",G391+G392)</f>
        <v>592</v>
      </c>
      <c r="H393" s="145">
        <f>IF(ISERROR(H391+H392),"–",H391+H392)</f>
        <v>306</v>
      </c>
      <c r="I393" s="145">
        <f>IF(ISERROR(I391+I392),"–",I391+I392)</f>
        <v>247</v>
      </c>
      <c r="J393" s="145">
        <f>IF(ISERROR(J391+J392),"–",J391+J392)</f>
        <v>-2093</v>
      </c>
      <c r="K393" s="145">
        <f>IF(ISERROR(K391+K392),"–",K391+K392)</f>
        <v>692</v>
      </c>
      <c r="L393" s="145" t="str">
        <f>IF(ISERROR(L391+L392),"–",L391+L392)</f>
        <v>–</v>
      </c>
      <c r="M393" s="142"/>
      <c r="N393" s="145">
        <f>IF(ISERROR(N391+N392),"–",N391+N392)</f>
        <v>-948</v>
      </c>
      <c r="O393" s="145" t="str">
        <f>IF(ISERROR(O391+O392),"–",O391+O392)</f>
        <v>–</v>
      </c>
      <c r="P393" s="145" t="str">
        <f>IF(ISERROR(P391+P392),"–",P391+P392)</f>
        <v>–</v>
      </c>
      <c r="Q393" s="145" t="str">
        <f>IF(ISERROR(Q391+Q392),"–",Q391+Q392)</f>
        <v>–</v>
      </c>
      <c r="R393" s="33"/>
      <c r="S393" s="45"/>
      <c r="T393" s="33"/>
      <c r="U393" s="4"/>
      <c r="V393" s="33"/>
      <c r="W393" s="5"/>
      <c r="X393" s="5"/>
      <c r="Y393" s="5"/>
      <c r="Z393" s="54"/>
      <c r="AA393" s="308"/>
      <c r="AB393" s="47"/>
    </row>
    <row r="394" spans="1:28" ht="13.5" customHeight="1">
      <c r="A394" s="1"/>
      <c r="B394" s="309"/>
      <c r="C394" s="4" t="str">
        <f>"CS – Income statement – "&amp;D394</f>
        <v>CS – Income statement – Less net income attributable to noncontrolling interests</v>
      </c>
      <c r="D394" s="76" t="s">
        <v>96</v>
      </c>
      <c r="E394" s="84"/>
      <c r="F394" s="33"/>
      <c r="G394" s="281">
        <v>-4</v>
      </c>
      <c r="H394" s="281">
        <v>3</v>
      </c>
      <c r="I394" s="281">
        <v>3</v>
      </c>
      <c r="J394" s="281">
        <v>33</v>
      </c>
      <c r="K394" s="281">
        <v>-2</v>
      </c>
      <c r="L394" s="141">
        <f>IF(L$27="No","–",IF(INDEX(CS_CONS_LINK_ARRAY,MATCH($C394,CS_CONS_LINK_COLUMN,0),MATCH(L$1,CS_CONS_LINK_ROW,0))="","",INDEX(CS_CONS_LINK_ARRAY,MATCH($C394,CS_CONS_LINK_COLUMN,0),MATCH(L$1,CS_CONS_LINK_ROW,0))))</f>
      </c>
      <c r="M394" s="142"/>
      <c r="N394" s="281">
        <v>35</v>
      </c>
      <c r="O394" s="141">
        <f>IF(O$27="No","–",IF(INDEX(CS_CONS_LINK_ARRAY,MATCH($C394,CS_CONS_LINK_COLUMN,0),MATCH(O$1,CS_CONS_LINK_ROW,0))="","",INDEX(CS_CONS_LINK_ARRAY,MATCH($C394,CS_CONS_LINK_COLUMN,0),MATCH(O$1,CS_CONS_LINK_ROW,0))))</f>
      </c>
      <c r="P394" s="141">
        <f>IF(P$27="No","–",IF(INDEX(CS_CONS_LINK_ARRAY,MATCH($C394,CS_CONS_LINK_COLUMN,0),MATCH(P$1,CS_CONS_LINK_ROW,0))="","",INDEX(CS_CONS_LINK_ARRAY,MATCH($C394,CS_CONS_LINK_COLUMN,0),MATCH(P$1,CS_CONS_LINK_ROW,0))))</f>
      </c>
      <c r="Q394" s="141">
        <f>IF(Q$27="No","–",IF(INDEX(CS_CONS_LINK_ARRAY,MATCH($C394,CS_CONS_LINK_COLUMN,0),MATCH(Q$1,CS_CONS_LINK_ROW,0))="","",INDEX(CS_CONS_LINK_ARRAY,MATCH($C394,CS_CONS_LINK_COLUMN,0),MATCH(Q$1,CS_CONS_LINK_ROW,0))))</f>
      </c>
      <c r="R394" s="33"/>
      <c r="S394" s="45"/>
      <c r="T394" s="33"/>
      <c r="U394" s="38" t="s">
        <v>26</v>
      </c>
      <c r="V394" s="33"/>
      <c r="W394" s="37">
        <f>IF(L394="–",0,IF($U394="Positive Number",IF(OR(L394&lt;0,ISTEXT(L394),ISERROR(L394)),1,0),IF(OR(ISTEXT(L394),ISERROR(L394)),1,0)))</f>
        <v>1</v>
      </c>
      <c r="X394" s="57">
        <f>IF(O394="–",0,IF($U394="Positive Number",IF(OR(O394&lt;0,ISTEXT(O394),ISERROR(O394)),1,0),IF(OR(ISTEXT(O394),ISERROR(O394)),1,0)))</f>
        <v>1</v>
      </c>
      <c r="Y394" s="57">
        <f>IF(P394="–",0,IF($U394="Positive Number",IF(OR(P394&lt;0,ISTEXT(P394),ISERROR(P394)),1,0),IF(OR(ISTEXT(P394),ISERROR(P394)),1,0)))</f>
        <v>1</v>
      </c>
      <c r="Z394" s="57">
        <f>IF(Q394="–",0,IF($U394="Positive Number",IF(OR(Q394&lt;0,ISTEXT(Q394),ISERROR(Q394)),1,0),IF(OR(ISTEXT(Q394),ISERROR(Q394)),1,0)))</f>
        <v>1</v>
      </c>
      <c r="AA394" s="308"/>
      <c r="AB394" s="47"/>
    </row>
    <row r="395" spans="1:28" ht="13.5" customHeight="1">
      <c r="A395" s="1"/>
      <c r="B395" s="309"/>
      <c r="C395" s="4" t="str">
        <f>"CS – Income statement – "&amp;D395</f>
        <v>CS – Income statement – Net income attributable to shareholders</v>
      </c>
      <c r="D395" s="75" t="s">
        <v>92</v>
      </c>
      <c r="E395" s="83"/>
      <c r="F395" s="33"/>
      <c r="G395" s="145">
        <f>IF(ISERROR(G393-G394),"–",G393-G394)</f>
        <v>596</v>
      </c>
      <c r="H395" s="145">
        <f>IF(ISERROR(H393-H394),"–",H393-H394)</f>
        <v>303</v>
      </c>
      <c r="I395" s="145">
        <f>IF(ISERROR(I393-I394),"–",I393-I394)</f>
        <v>244</v>
      </c>
      <c r="J395" s="145">
        <f>IF(ISERROR(J393-J394),"–",J393-J394)</f>
        <v>-2126</v>
      </c>
      <c r="K395" s="145">
        <f>IF(ISERROR(K393-K394),"–",K393-K394)</f>
        <v>694</v>
      </c>
      <c r="L395" s="145" t="str">
        <f>IF(ISERROR(L393-L394),"–",L393-L394)</f>
        <v>–</v>
      </c>
      <c r="M395" s="142"/>
      <c r="N395" s="145">
        <f>IF(ISERROR(N393-N394),"–",N393-N394)</f>
        <v>-983</v>
      </c>
      <c r="O395" s="145" t="str">
        <f>IF(ISERROR(O393-O394),"–",O393-O394)</f>
        <v>–</v>
      </c>
      <c r="P395" s="145" t="str">
        <f>IF(ISERROR(P393-P394),"–",P393-P394)</f>
        <v>–</v>
      </c>
      <c r="Q395" s="145" t="str">
        <f>IF(ISERROR(Q393-Q394),"–",Q393-Q394)</f>
        <v>–</v>
      </c>
      <c r="R395" s="33"/>
      <c r="S395" s="45"/>
      <c r="T395" s="33"/>
      <c r="U395" s="4"/>
      <c r="V395" s="33"/>
      <c r="W395" s="5"/>
      <c r="X395" s="5"/>
      <c r="Y395" s="5"/>
      <c r="Z395" s="54"/>
      <c r="AA395" s="308"/>
      <c r="AB395" s="47"/>
    </row>
    <row r="396" spans="1:28" ht="13.5" customHeight="1">
      <c r="A396" s="1"/>
      <c r="B396" s="309"/>
      <c r="C396" s="6"/>
      <c r="D396" s="7"/>
      <c r="E396" s="7"/>
      <c r="F396" s="33"/>
      <c r="G396" s="282"/>
      <c r="H396" s="282"/>
      <c r="I396" s="282"/>
      <c r="J396" s="282"/>
      <c r="K396" s="282"/>
      <c r="L396" s="149"/>
      <c r="M396" s="142"/>
      <c r="N396" s="149"/>
      <c r="O396" s="149"/>
      <c r="P396" s="149"/>
      <c r="Q396" s="149"/>
      <c r="R396" s="33"/>
      <c r="S396" s="8"/>
      <c r="T396" s="33"/>
      <c r="U396" s="6"/>
      <c r="V396" s="33"/>
      <c r="W396" s="8"/>
      <c r="X396" s="8"/>
      <c r="Y396" s="8"/>
      <c r="Z396" s="8"/>
      <c r="AA396" s="308"/>
      <c r="AB396" s="47"/>
    </row>
    <row r="397" spans="1:28" ht="13.5" customHeight="1" hidden="1">
      <c r="A397" s="1"/>
      <c r="B397" s="309"/>
      <c r="C397" s="4" t="str">
        <f aca="true" t="shared" si="91" ref="C397:C402">"CS – Income statement – "&amp;D397</f>
        <v>CS – Income statement – Compensation ratio (%)</v>
      </c>
      <c r="D397" s="82" t="s">
        <v>9</v>
      </c>
      <c r="E397" s="91"/>
      <c r="F397" s="33"/>
      <c r="G397" s="151"/>
      <c r="H397" s="151"/>
      <c r="I397" s="151"/>
      <c r="J397" s="151"/>
      <c r="K397" s="151"/>
      <c r="L397" s="151" t="str">
        <f>IF(ISERROR(L386/L384),"–",IF(ABS(L386/L384*100)&gt;NM,"–",L386/L384*100))</f>
        <v>–</v>
      </c>
      <c r="M397" s="142"/>
      <c r="N397" s="151">
        <f>IF(ISERROR(N386/N384),"–",IF(ABS(N386/N384*100)&gt;NM,"–",N386/N384*100))</f>
        <v>48.693779904306226</v>
      </c>
      <c r="O397" s="151" t="str">
        <f>IF(ISERROR(O386/O384),"–",IF(ABS(O386/O384*100)&gt;NM,"–",O386/O384*100))</f>
        <v>–</v>
      </c>
      <c r="P397" s="151" t="str">
        <f>IF(ISERROR(P386/P384),"–",IF(ABS(P386/P384*100)&gt;NM,"–",P386/P384*100))</f>
        <v>–</v>
      </c>
      <c r="Q397" s="151" t="str">
        <f>IF(ISERROR(Q386/Q384),"–",IF(ABS(Q386/Q384*100)&gt;NM,"–",Q386/Q384*100))</f>
        <v>–</v>
      </c>
      <c r="R397" s="33"/>
      <c r="S397" s="45"/>
      <c r="T397" s="33"/>
      <c r="U397" s="4"/>
      <c r="V397" s="33"/>
      <c r="W397" s="12"/>
      <c r="X397" s="12"/>
      <c r="Y397" s="12"/>
      <c r="Z397" s="58"/>
      <c r="AA397" s="308"/>
      <c r="AB397" s="47"/>
    </row>
    <row r="398" spans="1:28" ht="13.5" customHeight="1" hidden="1">
      <c r="A398" s="1"/>
      <c r="B398" s="309"/>
      <c r="C398" s="4" t="str">
        <f t="shared" si="91"/>
        <v>CS – Income statement – Non-compensation ratio (%)</v>
      </c>
      <c r="D398" s="82" t="s">
        <v>10</v>
      </c>
      <c r="E398" s="91"/>
      <c r="F398" s="33"/>
      <c r="G398" s="151"/>
      <c r="H398" s="151"/>
      <c r="I398" s="151"/>
      <c r="J398" s="151"/>
      <c r="K398" s="151"/>
      <c r="L398" s="151" t="str">
        <f>IF(ISERROR(L387/L384),"–",IF(ABS(L387/L384*100)&gt;NM,"–",L387/L384*100))</f>
        <v>–</v>
      </c>
      <c r="M398" s="142"/>
      <c r="N398" s="151">
        <f>IF(ISERROR(N387/N384),"–",IF(ABS(N387/N384*100)&gt;NM,"–",N387/N384*100))</f>
        <v>41.72248803827751</v>
      </c>
      <c r="O398" s="151" t="str">
        <f>IF(ISERROR(O387/O384),"–",IF(ABS(O387/O384*100)&gt;NM,"–",O387/O384*100))</f>
        <v>–</v>
      </c>
      <c r="P398" s="151" t="str">
        <f>IF(ISERROR(P387/P384),"–",IF(ABS(P387/P384*100)&gt;NM,"–",P387/P384*100))</f>
        <v>–</v>
      </c>
      <c r="Q398" s="151" t="str">
        <f>IF(ISERROR(Q387/Q384),"–",IF(ABS(Q387/Q384*100)&gt;NM,"–",Q387/Q384*100))</f>
        <v>–</v>
      </c>
      <c r="R398" s="33"/>
      <c r="S398" s="45"/>
      <c r="T398" s="33"/>
      <c r="U398" s="4"/>
      <c r="V398" s="33"/>
      <c r="W398" s="12"/>
      <c r="X398" s="12"/>
      <c r="Y398" s="12"/>
      <c r="Z398" s="58"/>
      <c r="AA398" s="308"/>
      <c r="AB398" s="47"/>
    </row>
    <row r="399" spans="1:28" ht="13.5" customHeight="1">
      <c r="A399" s="1"/>
      <c r="B399" s="309"/>
      <c r="C399" s="4" t="str">
        <f t="shared" si="91"/>
        <v>CS – Income statement – Cost / income ratio (%)</v>
      </c>
      <c r="D399" s="77" t="s">
        <v>11</v>
      </c>
      <c r="E399" s="85"/>
      <c r="F399" s="33"/>
      <c r="G399" s="284">
        <f>IF(ISERROR(G388/G384),"–",IF(ABS(G388/G384*100)&gt;NM,"–",G388/G384*100))</f>
        <v>86.9353089989158</v>
      </c>
      <c r="H399" s="284">
        <f>IF(ISERROR(H388/H384),"–",IF(ABS(H388/H384*100)&gt;NM,"–",H388/H384*100))</f>
        <v>87.24303554274736</v>
      </c>
      <c r="I399" s="284">
        <f>IF(ISERROR(I388/I384),"–",IF(ABS(I388/I384*100)&gt;NM,"–",I388/I384*100))</f>
        <v>91.3113435237329</v>
      </c>
      <c r="J399" s="284">
        <f>IF(ISERROR(J388/J384),"–",IF(ABS(J388/J384*100)&gt;NM,"–",J388/J384*100))</f>
        <v>96.45403738677972</v>
      </c>
      <c r="K399" s="284">
        <f>IF(ISERROR(K388/K384),"–",IF(ABS(K388/K384*100)&gt;NM,"–",K388/K384*100))</f>
        <v>80.44712562100781</v>
      </c>
      <c r="L399" s="151" t="str">
        <f>IF(ISERROR(L388/L384),"–",IF(ABS(L388/L384*100)&gt;NM,"–",L388/L384*100))</f>
        <v>–</v>
      </c>
      <c r="M399" s="142"/>
      <c r="N399" s="151">
        <f>IF(ISERROR(N388/N384),"–",IF(ABS(N388/N384*100)&gt;NM,"–",N388/N384*100))</f>
        <v>90.41626794258373</v>
      </c>
      <c r="O399" s="151" t="str">
        <f>IF(ISERROR(O388/O384),"–",IF(ABS(O388/O384*100)&gt;NM,"–",O388/O384*100))</f>
        <v>–</v>
      </c>
      <c r="P399" s="151" t="str">
        <f>IF(ISERROR(P388/P384),"–",IF(ABS(P388/P384*100)&gt;NM,"–",P388/P384*100))</f>
        <v>–</v>
      </c>
      <c r="Q399" s="151" t="str">
        <f>IF(ISERROR(Q388/Q384),"–",IF(ABS(Q388/Q384*100)&gt;NM,"–",Q388/Q384*100))</f>
        <v>–</v>
      </c>
      <c r="R399" s="33"/>
      <c r="S399" s="45"/>
      <c r="T399" s="33"/>
      <c r="U399" s="4"/>
      <c r="V399" s="33"/>
      <c r="W399" s="13"/>
      <c r="X399" s="13"/>
      <c r="Y399" s="13"/>
      <c r="Z399" s="59"/>
      <c r="AA399" s="308"/>
      <c r="AB399" s="47"/>
    </row>
    <row r="400" spans="1:28" ht="13.5" customHeight="1">
      <c r="A400" s="1"/>
      <c r="B400" s="309"/>
      <c r="C400" s="4" t="str">
        <f t="shared" si="91"/>
        <v>CS – Income statement – Pre-tax income margin (%)</v>
      </c>
      <c r="D400" s="77" t="s">
        <v>12</v>
      </c>
      <c r="E400" s="85"/>
      <c r="F400" s="33"/>
      <c r="G400" s="284">
        <f>IF(ISERROR(G389/G384),"–",IF(ABS(G389/G384*100)&gt;NM,"–",G389/G384*100))</f>
        <v>12.106975063245393</v>
      </c>
      <c r="H400" s="284">
        <f>IF(ISERROR(H389/H384),"–",IF(ABS(H389/H384*100)&gt;NM,"–",H389/H384*100))</f>
        <v>11.181556195965419</v>
      </c>
      <c r="I400" s="284">
        <f>IF(ISERROR(I389/I384),"–",IF(ABS(I389/I384*100)&gt;NM,"–",I389/I384*100))</f>
        <v>8.045052292839904</v>
      </c>
      <c r="J400" s="284">
        <f>IF(ISERROR(J389/J384),"–",IF(ABS(J389/J384*100)&gt;NM,"–",J389/J384*100))</f>
        <v>2.717286567739449</v>
      </c>
      <c r="K400" s="284">
        <f>IF(ISERROR(K389/K384),"–",IF(ABS(K389/K384*100)&gt;NM,"–",K389/K384*100))</f>
        <v>18.70120652945351</v>
      </c>
      <c r="L400" s="151" t="str">
        <f>IF(ISERROR(L389/L384),"–",IF(ABS(L389/L384*100)&gt;NM,"–",L389/L384*100))</f>
        <v>–</v>
      </c>
      <c r="M400" s="142"/>
      <c r="N400" s="151">
        <f>IF(ISERROR(N389/N384),"–",IF(ABS(N389/N384*100)&gt;NM,"–",N389/N384*100))</f>
        <v>8.578947368421053</v>
      </c>
      <c r="O400" s="151" t="str">
        <f>IF(ISERROR(O389/O384),"–",IF(ABS(O389/O384*100)&gt;NM,"–",O389/O384*100))</f>
        <v>–</v>
      </c>
      <c r="P400" s="151" t="str">
        <f>IF(ISERROR(P389/P384),"–",IF(ABS(P389/P384*100)&gt;NM,"–",P389/P384*100))</f>
        <v>–</v>
      </c>
      <c r="Q400" s="151" t="str">
        <f>IF(ISERROR(Q389/Q384),"–",IF(ABS(Q389/Q384*100)&gt;NM,"–",Q389/Q384*100))</f>
        <v>–</v>
      </c>
      <c r="R400" s="33"/>
      <c r="S400" s="45"/>
      <c r="T400" s="33"/>
      <c r="U400" s="4"/>
      <c r="V400" s="33"/>
      <c r="W400" s="13"/>
      <c r="X400" s="13"/>
      <c r="Y400" s="13"/>
      <c r="Z400" s="59"/>
      <c r="AA400" s="308"/>
      <c r="AB400" s="47"/>
    </row>
    <row r="401" spans="1:28" ht="13.5" customHeight="1">
      <c r="A401" s="1"/>
      <c r="B401" s="309"/>
      <c r="C401" s="4" t="str">
        <f t="shared" si="91"/>
        <v>CS – Income statement – Tax rate (%)</v>
      </c>
      <c r="D401" s="297" t="s">
        <v>284</v>
      </c>
      <c r="E401" s="91"/>
      <c r="F401" s="33"/>
      <c r="G401" s="283">
        <f>IF(ISERROR(G390/G389),"–",IF(ABS(G390/G389*100)&gt;NM,"–",G390/G389*100))</f>
        <v>11.641791044776118</v>
      </c>
      <c r="H401" s="283">
        <f>IF(ISERROR(H390/H389),"–",IF(ABS(H390/H389*100)&gt;NM,"–",H390/H389*100))</f>
        <v>47.42268041237113</v>
      </c>
      <c r="I401" s="283">
        <f>IF(ISERROR(I390/I389),"–",IF(ABS(I390/I389*100)&gt;NM,"–",I390/I389*100))</f>
        <v>38.25</v>
      </c>
      <c r="J401" s="283" t="str">
        <f>IF(ISERROR(J390/J389),"–",IF(ABS(J390/J389*100)&gt;NM,"–",J390/J389*100))</f>
        <v>–</v>
      </c>
      <c r="K401" s="283">
        <f>IF(ISERROR(K390/K389),"–",IF(ABS(K390/K389*100)&gt;NM,"–",K390/K389*100))</f>
        <v>34.34535104364326</v>
      </c>
      <c r="L401" s="150" t="str">
        <f>IF(ISERROR(L390/L389),"–",IF(ABS(L390/L389*100)&gt;NM,"–",L390/L389*100))</f>
        <v>–</v>
      </c>
      <c r="M401" s="142"/>
      <c r="N401" s="150">
        <f>IF(ISERROR(N390/N389),"–",IF(ABS(N390/N389*100)&gt;NM,"–",N390/N389*100))</f>
        <v>152.87228109314</v>
      </c>
      <c r="O401" s="150" t="str">
        <f>IF(ISERROR(O390/O389),"–",IF(ABS(O390/O389*100)&gt;NM,"–",O390/O389*100))</f>
        <v>–</v>
      </c>
      <c r="P401" s="150" t="str">
        <f>IF(ISERROR(P390/P389),"–",IF(ABS(P390/P389*100)&gt;NM,"–",P390/P389*100))</f>
        <v>–</v>
      </c>
      <c r="Q401" s="150" t="str">
        <f>IF(ISERROR(Q390/Q389),"–",IF(ABS(Q390/Q389*100)&gt;NM,"–",Q390/Q389*100))</f>
        <v>–</v>
      </c>
      <c r="R401" s="33"/>
      <c r="S401" s="45"/>
      <c r="T401" s="33"/>
      <c r="U401" s="4"/>
      <c r="V401" s="33"/>
      <c r="W401" s="12"/>
      <c r="X401" s="12"/>
      <c r="Y401" s="12"/>
      <c r="Z401" s="58"/>
      <c r="AA401" s="308"/>
      <c r="AB401" s="47"/>
    </row>
    <row r="402" spans="1:28" ht="13.5" customHeight="1">
      <c r="A402" s="1"/>
      <c r="B402" s="309"/>
      <c r="C402" s="4" t="str">
        <f t="shared" si="91"/>
        <v>CS – Income statement – Net income margin (%)</v>
      </c>
      <c r="D402" s="77" t="s">
        <v>24</v>
      </c>
      <c r="E402" s="85"/>
      <c r="F402" s="33"/>
      <c r="G402" s="284">
        <f>IF(ISERROR(G395/G384),"–",IF(ABS(G395/G384*100)&gt;NM,"–",G395/G384*100))</f>
        <v>10.76978677267799</v>
      </c>
      <c r="H402" s="284">
        <f>IF(ISERROR(H395/H384),"–",IF(ABS(H395/H384*100)&gt;NM,"–",H395/H384*100))</f>
        <v>5.821325648414986</v>
      </c>
      <c r="I402" s="284">
        <f>IF(ISERROR(I395/I384),"–",IF(ABS(I395/I384*100)&gt;NM,"–",I395/I384*100))</f>
        <v>4.907481898632341</v>
      </c>
      <c r="J402" s="284">
        <f>IF(ISERROR(J395/J384),"–",IF(ABS(J395/J384*100)&gt;NM,"–",J395/J384*100))</f>
        <v>-40.9712854114473</v>
      </c>
      <c r="K402" s="284">
        <f>IF(ISERROR(K395/K384),"–",IF(ABS(K395/K384*100)&gt;NM,"–",K395/K384*100))</f>
        <v>12.313697657913414</v>
      </c>
      <c r="L402" s="151" t="str">
        <f>IF(ISERROR(L395/L384),"–",IF(ABS(L395/L384*100)&gt;NM,"–",L395/L384*100))</f>
        <v>–</v>
      </c>
      <c r="M402" s="142"/>
      <c r="N402" s="151">
        <f>IF(ISERROR(N395/N384),"–",IF(ABS(N395/N384*100)&gt;NM,"–",N395/N384*100))</f>
        <v>-4.703349282296651</v>
      </c>
      <c r="O402" s="151" t="str">
        <f>IF(ISERROR(O395/O384),"–",IF(ABS(O395/O384*100)&gt;NM,"–",O395/O384*100))</f>
        <v>–</v>
      </c>
      <c r="P402" s="151" t="str">
        <f>IF(ISERROR(P395/P384),"–",IF(ABS(P395/P384*100)&gt;NM,"–",P395/P384*100))</f>
        <v>–</v>
      </c>
      <c r="Q402" s="151" t="str">
        <f>IF(ISERROR(Q395/Q384),"–",IF(ABS(Q395/Q384*100)&gt;NM,"–",Q395/Q384*100))</f>
        <v>–</v>
      </c>
      <c r="R402" s="33"/>
      <c r="S402" s="45"/>
      <c r="T402" s="33"/>
      <c r="U402" s="4"/>
      <c r="V402" s="40"/>
      <c r="W402" s="13"/>
      <c r="X402" s="13"/>
      <c r="Y402" s="13"/>
      <c r="Z402" s="59"/>
      <c r="AA402" s="308"/>
      <c r="AB402" s="47"/>
    </row>
    <row r="403" spans="1:28" ht="13.5" customHeight="1">
      <c r="A403" s="1"/>
      <c r="B403" s="309"/>
      <c r="C403" s="6"/>
      <c r="D403" s="7"/>
      <c r="E403" s="7"/>
      <c r="F403" s="33"/>
      <c r="G403" s="149"/>
      <c r="H403" s="149"/>
      <c r="I403" s="149"/>
      <c r="J403" s="149"/>
      <c r="K403" s="149"/>
      <c r="L403" s="149"/>
      <c r="M403" s="142"/>
      <c r="N403" s="149"/>
      <c r="O403" s="149"/>
      <c r="P403" s="149"/>
      <c r="Q403" s="149"/>
      <c r="R403" s="33"/>
      <c r="S403" s="8"/>
      <c r="T403" s="33"/>
      <c r="U403" s="6"/>
      <c r="V403" s="33"/>
      <c r="W403" s="8"/>
      <c r="X403" s="8"/>
      <c r="Y403" s="8"/>
      <c r="Z403" s="8"/>
      <c r="AA403" s="308"/>
      <c r="AB403" s="47"/>
    </row>
    <row r="404" spans="1:28" ht="12.75" customHeight="1">
      <c r="A404" s="1"/>
      <c r="B404" s="309"/>
      <c r="C404" s="2"/>
      <c r="D404" s="2"/>
      <c r="E404" s="2"/>
      <c r="F404" s="25"/>
      <c r="G404" s="137"/>
      <c r="H404" s="137"/>
      <c r="I404" s="137"/>
      <c r="J404" s="137"/>
      <c r="K404" s="137"/>
      <c r="L404" s="136"/>
      <c r="M404" s="159"/>
      <c r="N404" s="137"/>
      <c r="O404" s="136"/>
      <c r="P404" s="136"/>
      <c r="Q404" s="136"/>
      <c r="R404" s="25"/>
      <c r="S404" s="2"/>
      <c r="T404" s="25"/>
      <c r="U404" s="2"/>
      <c r="V404" s="25"/>
      <c r="W404" s="2"/>
      <c r="X404" s="2"/>
      <c r="Y404" s="2"/>
      <c r="Z404" s="2"/>
      <c r="AA404" s="308"/>
      <c r="AB404" s="47"/>
    </row>
    <row r="405" spans="1:28" ht="13.5" customHeight="1">
      <c r="A405" s="1"/>
      <c r="B405" s="309"/>
      <c r="C405" s="3"/>
      <c r="D405" s="3" t="s">
        <v>160</v>
      </c>
      <c r="E405" s="3"/>
      <c r="F405" s="26"/>
      <c r="G405" s="140"/>
      <c r="H405" s="140"/>
      <c r="I405" s="140"/>
      <c r="J405" s="140"/>
      <c r="K405" s="140"/>
      <c r="L405" s="138"/>
      <c r="M405" s="139"/>
      <c r="N405" s="140"/>
      <c r="O405" s="138"/>
      <c r="P405" s="138"/>
      <c r="Q405" s="138"/>
      <c r="R405" s="26"/>
      <c r="S405" s="3"/>
      <c r="T405" s="26"/>
      <c r="U405" s="3"/>
      <c r="V405" s="26"/>
      <c r="W405" s="3"/>
      <c r="X405" s="3"/>
      <c r="Y405" s="3"/>
      <c r="Z405" s="3"/>
      <c r="AA405" s="308"/>
      <c r="AB405" s="47"/>
    </row>
    <row r="406" spans="1:28" s="207" customFormat="1" ht="13.5" customHeight="1">
      <c r="A406" s="1"/>
      <c r="B406" s="309"/>
      <c r="C406" s="4" t="str">
        <f>"CS – Assets under management – "&amp;D406</f>
        <v>CS – Assets under management – Risk-weighted assets – look-through (CHF million)</v>
      </c>
      <c r="D406" s="291" t="s">
        <v>162</v>
      </c>
      <c r="E406" s="292"/>
      <c r="F406" s="30"/>
      <c r="G406" s="281">
        <f aca="true" t="shared" si="92" ref="G406:L407">IF(ISERROR(G361+G378),"–",G361+G378)</f>
        <v>263737</v>
      </c>
      <c r="H406" s="281">
        <f t="shared" si="92"/>
        <v>259337</v>
      </c>
      <c r="I406" s="281">
        <f>IF(ISERROR(I361+I378),"–",I361+I378)</f>
        <v>265012</v>
      </c>
      <c r="J406" s="281">
        <f>IF(ISERROR(J361+J378),"–",J361+J378)</f>
        <v>271680</v>
      </c>
      <c r="K406" s="281">
        <f>IF(ISERROR(K361+K378),"–",K361+K378)</f>
        <v>271015</v>
      </c>
      <c r="L406" s="281" t="str">
        <f t="shared" si="92"/>
        <v>–</v>
      </c>
      <c r="M406" s="468"/>
      <c r="N406" s="281">
        <f aca="true" t="shared" si="93" ref="N406:Q407">IF(ISERROR(N361+N378),"–",N361+N378)</f>
        <v>271680</v>
      </c>
      <c r="O406" s="281" t="str">
        <f t="shared" si="93"/>
        <v>–</v>
      </c>
      <c r="P406" s="281" t="str">
        <f t="shared" si="93"/>
        <v>–</v>
      </c>
      <c r="Q406" s="281" t="str">
        <f t="shared" si="93"/>
        <v>–</v>
      </c>
      <c r="R406" s="30"/>
      <c r="S406" s="45"/>
      <c r="T406" s="30"/>
      <c r="U406" s="237" t="s">
        <v>26</v>
      </c>
      <c r="V406" s="28"/>
      <c r="W406" s="238">
        <f>IF(L406="–",0,IF($U406="Positive Number",IF(OR(L406&lt;0,ISTEXT(L406),ISERROR(L406)),1,0),IF(OR(ISTEXT(L406),ISERROR(L406)),1,0)))</f>
        <v>0</v>
      </c>
      <c r="X406" s="239">
        <f>IF(O406="–",0,IF($U406="Positive Number",IF(OR(O406&lt;0,ISTEXT(O406),ISERROR(O406)),1,0),IF(OR(ISTEXT(O406),ISERROR(O406)),1,0)))</f>
        <v>0</v>
      </c>
      <c r="Y406" s="239">
        <f>IF(P406="–",0,IF($U406="Positive Number",IF(OR(P406&lt;0,ISTEXT(P406),ISERROR(P406)),1,0),IF(OR(ISTEXT(P406),ISERROR(P406)),1,0)))</f>
        <v>0</v>
      </c>
      <c r="Z406" s="239">
        <f>IF(Q406="–",0,IF($U406="Positive Number",IF(OR(Q406&lt;0,ISTEXT(Q406),ISERROR(Q406)),1,0),IF(OR(ISTEXT(Q406),ISERROR(Q406)),1,0)))</f>
        <v>0</v>
      </c>
      <c r="AA406" s="308"/>
      <c r="AB406" s="47"/>
    </row>
    <row r="407" spans="1:28" s="207" customFormat="1" ht="13.5" customHeight="1">
      <c r="A407" s="1"/>
      <c r="B407" s="309"/>
      <c r="C407" s="4" t="str">
        <f>"CS – Assets under management – "&amp;D407</f>
        <v>CS – Assets under management – Leverage exposure – look-through (CHF million)</v>
      </c>
      <c r="D407" s="78" t="s">
        <v>161</v>
      </c>
      <c r="E407" s="86"/>
      <c r="F407" s="30"/>
      <c r="G407" s="281">
        <f t="shared" si="92"/>
        <v>935911</v>
      </c>
      <c r="H407" s="281">
        <f t="shared" si="92"/>
        <v>906194</v>
      </c>
      <c r="I407" s="281">
        <f>IF(ISERROR(I362+I379),"–",I362+I379)</f>
        <v>908967</v>
      </c>
      <c r="J407" s="281">
        <f>IF(ISERROR(J362+J379),"–",J362+J379)</f>
        <v>916525</v>
      </c>
      <c r="K407" s="281">
        <f>IF(ISERROR(K362+K379),"–",K362+K379)</f>
        <v>932071</v>
      </c>
      <c r="L407" s="281" t="str">
        <f t="shared" si="92"/>
        <v>–</v>
      </c>
      <c r="M407" s="468"/>
      <c r="N407" s="281">
        <f t="shared" si="93"/>
        <v>916525</v>
      </c>
      <c r="O407" s="281" t="str">
        <f t="shared" si="93"/>
        <v>–</v>
      </c>
      <c r="P407" s="281" t="str">
        <f t="shared" si="93"/>
        <v>–</v>
      </c>
      <c r="Q407" s="281" t="str">
        <f t="shared" si="93"/>
        <v>–</v>
      </c>
      <c r="R407" s="30"/>
      <c r="S407" s="45"/>
      <c r="T407" s="425"/>
      <c r="U407" s="237"/>
      <c r="V407" s="30"/>
      <c r="W407" s="16"/>
      <c r="X407" s="61"/>
      <c r="Y407" s="61"/>
      <c r="Z407" s="61"/>
      <c r="AA407" s="308"/>
      <c r="AB407" s="47"/>
    </row>
    <row r="408" spans="1:28" ht="13.5" customHeight="1">
      <c r="A408" s="1"/>
      <c r="B408" s="333"/>
      <c r="C408" s="355"/>
      <c r="D408" s="356"/>
      <c r="E408" s="356"/>
      <c r="F408" s="356"/>
      <c r="G408" s="357"/>
      <c r="H408" s="357"/>
      <c r="I408" s="357"/>
      <c r="J408" s="357"/>
      <c r="K408" s="357"/>
      <c r="L408" s="357"/>
      <c r="M408" s="357"/>
      <c r="N408" s="357"/>
      <c r="O408" s="357"/>
      <c r="P408" s="357"/>
      <c r="Q408" s="357"/>
      <c r="R408" s="356"/>
      <c r="S408" s="356"/>
      <c r="T408" s="355"/>
      <c r="U408" s="106"/>
      <c r="V408" s="106"/>
      <c r="W408" s="106"/>
      <c r="X408" s="106"/>
      <c r="Y408" s="106"/>
      <c r="Z408" s="106"/>
      <c r="AA408" s="354"/>
      <c r="AB408" s="47"/>
    </row>
    <row r="409" spans="1:28" ht="13.5" customHeight="1">
      <c r="A409" s="42"/>
      <c r="B409" s="43"/>
      <c r="C409" s="20"/>
      <c r="D409" s="20"/>
      <c r="E409" s="20"/>
      <c r="F409" s="20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20"/>
      <c r="S409" s="20"/>
      <c r="T409" s="20"/>
      <c r="U409" s="20"/>
      <c r="V409" s="20"/>
      <c r="W409" s="20"/>
      <c r="X409" s="20"/>
      <c r="Y409" s="20"/>
      <c r="Z409" s="20"/>
      <c r="AA409" s="43"/>
      <c r="AB409" s="47"/>
    </row>
    <row r="410" spans="1:28" ht="27" customHeight="1">
      <c r="A410" s="1"/>
      <c r="B410" s="66"/>
      <c r="C410" s="68" t="s">
        <v>65</v>
      </c>
      <c r="D410" s="459" t="s">
        <v>65</v>
      </c>
      <c r="E410" s="69"/>
      <c r="F410" s="69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69"/>
      <c r="S410" s="69"/>
      <c r="T410" s="69"/>
      <c r="U410" s="69"/>
      <c r="V410" s="69"/>
      <c r="W410" s="69"/>
      <c r="X410" s="69"/>
      <c r="Y410" s="69"/>
      <c r="Z410" s="69"/>
      <c r="AA410" s="70"/>
      <c r="AB410" s="47"/>
    </row>
    <row r="411" spans="1:28" ht="13.5" customHeight="1">
      <c r="A411" s="107"/>
      <c r="B411" s="108"/>
      <c r="C411" s="109"/>
      <c r="D411" s="109"/>
      <c r="E411" s="110"/>
      <c r="F411" s="110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10"/>
      <c r="S411" s="110"/>
      <c r="T411" s="110"/>
      <c r="U411" s="110"/>
      <c r="V411" s="110"/>
      <c r="W411" s="110"/>
      <c r="X411" s="110"/>
      <c r="Y411" s="110"/>
      <c r="Z411" s="110"/>
      <c r="AA411" s="71"/>
      <c r="AB411" s="47"/>
    </row>
    <row r="412" spans="1:28" ht="13.5" customHeight="1">
      <c r="A412" s="107"/>
      <c r="B412" s="111"/>
      <c r="C412" s="4" t="str">
        <f>"SP – Sum-of-the-parts – "&amp;D412</f>
        <v>SP – Sum-of-the-parts – Sum-of-the-parts data provided?</v>
      </c>
      <c r="D412" s="77" t="s">
        <v>66</v>
      </c>
      <c r="E412" s="91"/>
      <c r="F412" s="118"/>
      <c r="G412" s="172"/>
      <c r="H412" s="172"/>
      <c r="I412" s="172"/>
      <c r="J412" s="172"/>
      <c r="K412" s="172"/>
      <c r="L412" s="172"/>
      <c r="M412" s="172"/>
      <c r="N412" s="172"/>
      <c r="O412" s="173">
        <f>IF(INDEX(CS_CONS_LINK_ARRAY,MATCH($C412,CS_CONS_LINK_COLUMN,0),MATCH(O$1,CS_CONS_LINK_ROW,0))="","",INDEX(CS_CONS_LINK_ARRAY,MATCH($C412,CS_CONS_LINK_COLUMN,0),MATCH(O$1,CS_CONS_LINK_ROW,0)))</f>
      </c>
      <c r="P412" s="173">
        <f>IF(INDEX(CS_CONS_LINK_ARRAY,MATCH($C412,CS_CONS_LINK_COLUMN,0),MATCH(P$1,CS_CONS_LINK_ROW,0))="","",INDEX(CS_CONS_LINK_ARRAY,MATCH($C412,CS_CONS_LINK_COLUMN,0),MATCH(P$1,CS_CONS_LINK_ROW,0)))</f>
      </c>
      <c r="Q412" s="173">
        <f>IF(INDEX(CS_CONS_LINK_ARRAY,MATCH($C412,CS_CONS_LINK_COLUMN,0),MATCH(Q$1,CS_CONS_LINK_ROW,0))="","",INDEX(CS_CONS_LINK_ARRAY,MATCH($C412,CS_CONS_LINK_COLUMN,0),MATCH(Q$1,CS_CONS_LINK_ROW,0)))</f>
      </c>
      <c r="R412" s="464"/>
      <c r="S412" s="91"/>
      <c r="T412" s="117"/>
      <c r="U412" s="91"/>
      <c r="V412" s="117"/>
      <c r="W412" s="91"/>
      <c r="X412" s="37">
        <f>IF(ISERROR(O412),1,IF(O412="",1,0))</f>
        <v>1</v>
      </c>
      <c r="Y412" s="37">
        <f>IF(ISERROR(P412),1,IF(P412="",1,0))</f>
        <v>1</v>
      </c>
      <c r="Z412" s="37">
        <f>IF(ISERROR(Q412),1,IF(Q412="",1,0))</f>
        <v>1</v>
      </c>
      <c r="AA412" s="71"/>
      <c r="AB412" s="47"/>
    </row>
    <row r="413" spans="1:28" ht="13.5" customHeight="1">
      <c r="A413" s="107"/>
      <c r="B413" s="111"/>
      <c r="C413" s="113"/>
      <c r="D413" s="113"/>
      <c r="E413" s="112"/>
      <c r="F413" s="112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12"/>
      <c r="S413" s="112"/>
      <c r="T413" s="112"/>
      <c r="U413" s="112"/>
      <c r="V413" s="112"/>
      <c r="W413" s="112"/>
      <c r="X413" s="112"/>
      <c r="Y413" s="112"/>
      <c r="Z413" s="112"/>
      <c r="AA413" s="71"/>
      <c r="AB413" s="47"/>
    </row>
    <row r="414" spans="1:28" ht="13.5" customHeight="1">
      <c r="A414" s="107"/>
      <c r="B414" s="111"/>
      <c r="C414" s="114"/>
      <c r="D414" s="114" t="s">
        <v>67</v>
      </c>
      <c r="E414" s="112"/>
      <c r="F414" s="112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12"/>
      <c r="S414" s="112"/>
      <c r="T414" s="112"/>
      <c r="U414" s="112"/>
      <c r="V414" s="112"/>
      <c r="W414" s="112"/>
      <c r="X414" s="112"/>
      <c r="Y414" s="112"/>
      <c r="Z414" s="112"/>
      <c r="AA414" s="71"/>
      <c r="AB414" s="47"/>
    </row>
    <row r="415" spans="1:28" ht="13.5" customHeight="1">
      <c r="A415" s="107"/>
      <c r="B415" s="111"/>
      <c r="C415" s="4" t="str">
        <f aca="true" t="shared" si="94" ref="C415:C422">"SP – Sum-of-the-parts value – "&amp;D415</f>
        <v>SP – Sum-of-the-parts value – Swiss Universal Bank</v>
      </c>
      <c r="D415" s="297" t="s">
        <v>150</v>
      </c>
      <c r="E415" s="298"/>
      <c r="F415" s="118"/>
      <c r="G415" s="172"/>
      <c r="H415" s="172"/>
      <c r="I415" s="172"/>
      <c r="J415" s="172"/>
      <c r="K415" s="172"/>
      <c r="L415" s="172"/>
      <c r="M415" s="172"/>
      <c r="N415" s="172"/>
      <c r="O415" s="141">
        <f aca="true" t="shared" si="95" ref="O415:Q421">IF(O$412="No","–",IF(INDEX(CS_CONS_LINK_ARRAY,MATCH($C415,CS_CONS_LINK_COLUMN,0),MATCH(O$1,CS_CONS_LINK_ROW,0))="","",INDEX(CS_CONS_LINK_ARRAY,MATCH($C415,CS_CONS_LINK_COLUMN,0),MATCH(O$1,CS_CONS_LINK_ROW,0))))</f>
      </c>
      <c r="P415" s="141">
        <f t="shared" si="95"/>
      </c>
      <c r="Q415" s="462">
        <f t="shared" si="95"/>
      </c>
      <c r="R415" s="464"/>
      <c r="S415" s="91"/>
      <c r="T415" s="117"/>
      <c r="U415" s="38" t="s">
        <v>26</v>
      </c>
      <c r="V415" s="117"/>
      <c r="W415" s="91"/>
      <c r="X415" s="57">
        <f aca="true" t="shared" si="96" ref="X415:Z419">IF(O415="–",0,IF($U415="Positive Number",IF(OR(O415&lt;0,ISTEXT(O415),ISERROR(O415)),1,0),IF(OR(ISTEXT(O415),ISERROR(O415)),1,0)))</f>
        <v>1</v>
      </c>
      <c r="Y415" s="57">
        <f t="shared" si="96"/>
        <v>1</v>
      </c>
      <c r="Z415" s="57">
        <f t="shared" si="96"/>
        <v>1</v>
      </c>
      <c r="AA415" s="71"/>
      <c r="AB415" s="47"/>
    </row>
    <row r="416" spans="1:28" ht="13.5" customHeight="1">
      <c r="A416" s="107"/>
      <c r="B416" s="111"/>
      <c r="C416" s="4" t="str">
        <f t="shared" si="94"/>
        <v>SP – Sum-of-the-parts value – International Wealth Management</v>
      </c>
      <c r="D416" s="297" t="s">
        <v>151</v>
      </c>
      <c r="E416" s="298"/>
      <c r="F416" s="118"/>
      <c r="G416" s="172"/>
      <c r="H416" s="172"/>
      <c r="I416" s="172"/>
      <c r="J416" s="172"/>
      <c r="K416" s="172"/>
      <c r="L416" s="172"/>
      <c r="M416" s="172"/>
      <c r="N416" s="172"/>
      <c r="O416" s="141">
        <f t="shared" si="95"/>
      </c>
      <c r="P416" s="141">
        <f t="shared" si="95"/>
      </c>
      <c r="Q416" s="462">
        <f t="shared" si="95"/>
      </c>
      <c r="R416" s="464"/>
      <c r="S416" s="91"/>
      <c r="T416" s="117"/>
      <c r="U416" s="38" t="s">
        <v>26</v>
      </c>
      <c r="V416" s="117"/>
      <c r="W416" s="91"/>
      <c r="X416" s="57">
        <f t="shared" si="96"/>
        <v>1</v>
      </c>
      <c r="Y416" s="57">
        <f t="shared" si="96"/>
        <v>1</v>
      </c>
      <c r="Z416" s="57">
        <f t="shared" si="96"/>
        <v>1</v>
      </c>
      <c r="AA416" s="71"/>
      <c r="AB416" s="47"/>
    </row>
    <row r="417" spans="1:28" ht="13.5" customHeight="1">
      <c r="A417" s="107"/>
      <c r="B417" s="111"/>
      <c r="C417" s="4" t="str">
        <f t="shared" si="94"/>
        <v>SP – Sum-of-the-parts value – Asia Pacific</v>
      </c>
      <c r="D417" s="297" t="s">
        <v>152</v>
      </c>
      <c r="E417" s="298"/>
      <c r="F417" s="118"/>
      <c r="G417" s="172"/>
      <c r="H417" s="172"/>
      <c r="I417" s="172"/>
      <c r="J417" s="172"/>
      <c r="K417" s="172"/>
      <c r="L417" s="172"/>
      <c r="M417" s="172"/>
      <c r="N417" s="172"/>
      <c r="O417" s="141">
        <f t="shared" si="95"/>
      </c>
      <c r="P417" s="141">
        <f t="shared" si="95"/>
      </c>
      <c r="Q417" s="462">
        <f t="shared" si="95"/>
      </c>
      <c r="R417" s="464"/>
      <c r="S417" s="91"/>
      <c r="T417" s="117"/>
      <c r="U417" s="38" t="s">
        <v>26</v>
      </c>
      <c r="V417" s="117"/>
      <c r="W417" s="91"/>
      <c r="X417" s="57">
        <f t="shared" si="96"/>
        <v>1</v>
      </c>
      <c r="Y417" s="57">
        <f t="shared" si="96"/>
        <v>1</v>
      </c>
      <c r="Z417" s="57">
        <f t="shared" si="96"/>
        <v>1</v>
      </c>
      <c r="AA417" s="71"/>
      <c r="AB417" s="47"/>
    </row>
    <row r="418" spans="1:28" ht="13.5" customHeight="1">
      <c r="A418" s="107"/>
      <c r="B418" s="111"/>
      <c r="C418" s="4" t="str">
        <f t="shared" si="94"/>
        <v>SP – Sum-of-the-parts value – Global Markets</v>
      </c>
      <c r="D418" s="297" t="s">
        <v>153</v>
      </c>
      <c r="E418" s="298"/>
      <c r="F418" s="118"/>
      <c r="G418" s="172"/>
      <c r="H418" s="172"/>
      <c r="I418" s="172"/>
      <c r="J418" s="172"/>
      <c r="K418" s="172"/>
      <c r="L418" s="172"/>
      <c r="M418" s="172"/>
      <c r="N418" s="172"/>
      <c r="O418" s="141">
        <f t="shared" si="95"/>
      </c>
      <c r="P418" s="141">
        <f t="shared" si="95"/>
      </c>
      <c r="Q418" s="462">
        <f t="shared" si="95"/>
      </c>
      <c r="R418" s="464"/>
      <c r="S418" s="91"/>
      <c r="T418" s="117"/>
      <c r="U418" s="38" t="s">
        <v>26</v>
      </c>
      <c r="V418" s="117"/>
      <c r="W418" s="91"/>
      <c r="X418" s="57">
        <f t="shared" si="96"/>
        <v>1</v>
      </c>
      <c r="Y418" s="57">
        <f t="shared" si="96"/>
        <v>1</v>
      </c>
      <c r="Z418" s="57">
        <f t="shared" si="96"/>
        <v>1</v>
      </c>
      <c r="AA418" s="71"/>
      <c r="AB418" s="47"/>
    </row>
    <row r="419" spans="1:28" ht="13.5" customHeight="1">
      <c r="A419" s="107"/>
      <c r="B419" s="111"/>
      <c r="C419" s="4" t="str">
        <f t="shared" si="94"/>
        <v>SP – Sum-of-the-parts value – Investment Banking &amp; Capital Markets</v>
      </c>
      <c r="D419" s="297" t="s">
        <v>154</v>
      </c>
      <c r="E419" s="298"/>
      <c r="F419" s="118"/>
      <c r="G419" s="172"/>
      <c r="H419" s="172"/>
      <c r="I419" s="172"/>
      <c r="J419" s="172"/>
      <c r="K419" s="172"/>
      <c r="L419" s="172"/>
      <c r="M419" s="172"/>
      <c r="N419" s="172"/>
      <c r="O419" s="141">
        <f t="shared" si="95"/>
      </c>
      <c r="P419" s="141">
        <f t="shared" si="95"/>
      </c>
      <c r="Q419" s="462">
        <f t="shared" si="95"/>
      </c>
      <c r="R419" s="464"/>
      <c r="S419" s="91"/>
      <c r="T419" s="117"/>
      <c r="U419" s="38" t="s">
        <v>26</v>
      </c>
      <c r="V419" s="117"/>
      <c r="W419" s="91"/>
      <c r="X419" s="57">
        <f t="shared" si="96"/>
        <v>1</v>
      </c>
      <c r="Y419" s="57">
        <f t="shared" si="96"/>
        <v>1</v>
      </c>
      <c r="Z419" s="57">
        <f t="shared" si="96"/>
        <v>1</v>
      </c>
      <c r="AA419" s="71"/>
      <c r="AB419" s="47"/>
    </row>
    <row r="420" spans="1:28" ht="13.5" customHeight="1">
      <c r="A420" s="107"/>
      <c r="B420" s="111"/>
      <c r="C420" s="4" t="str">
        <f>"SP – Sum-of-the-parts value – "&amp;D420</f>
        <v>SP – Sum-of-the-parts value – Corporate Center</v>
      </c>
      <c r="D420" s="297" t="s">
        <v>155</v>
      </c>
      <c r="E420" s="298"/>
      <c r="F420" s="118"/>
      <c r="G420" s="172"/>
      <c r="H420" s="172"/>
      <c r="I420" s="172"/>
      <c r="J420" s="172"/>
      <c r="K420" s="172"/>
      <c r="L420" s="172"/>
      <c r="M420" s="172"/>
      <c r="N420" s="172"/>
      <c r="O420" s="141">
        <f t="shared" si="95"/>
      </c>
      <c r="P420" s="141">
        <f t="shared" si="95"/>
      </c>
      <c r="Q420" s="462">
        <f t="shared" si="95"/>
      </c>
      <c r="R420" s="464"/>
      <c r="S420" s="91"/>
      <c r="T420" s="117"/>
      <c r="U420" s="38"/>
      <c r="V420" s="117"/>
      <c r="W420" s="91"/>
      <c r="X420" s="240"/>
      <c r="Y420" s="240"/>
      <c r="Z420" s="240"/>
      <c r="AA420" s="71"/>
      <c r="AB420" s="47"/>
    </row>
    <row r="421" spans="1:28" ht="13.5" customHeight="1">
      <c r="A421" s="107"/>
      <c r="B421" s="111"/>
      <c r="C421" s="4" t="str">
        <f t="shared" si="94"/>
        <v>SP – Sum-of-the-parts value – Strategic Resolution Unit</v>
      </c>
      <c r="D421" s="297" t="s">
        <v>156</v>
      </c>
      <c r="E421" s="298"/>
      <c r="F421" s="118"/>
      <c r="G421" s="172"/>
      <c r="H421" s="172"/>
      <c r="I421" s="172"/>
      <c r="J421" s="172"/>
      <c r="K421" s="172"/>
      <c r="L421" s="172"/>
      <c r="M421" s="172"/>
      <c r="N421" s="172"/>
      <c r="O421" s="141">
        <f t="shared" si="95"/>
      </c>
      <c r="P421" s="141">
        <f t="shared" si="95"/>
      </c>
      <c r="Q421" s="462">
        <f t="shared" si="95"/>
      </c>
      <c r="R421" s="464"/>
      <c r="S421" s="91"/>
      <c r="T421" s="117"/>
      <c r="U421" s="38"/>
      <c r="V421" s="117"/>
      <c r="W421" s="91"/>
      <c r="X421" s="240"/>
      <c r="Y421" s="240"/>
      <c r="Z421" s="240"/>
      <c r="AA421" s="71"/>
      <c r="AB421" s="47"/>
    </row>
    <row r="422" spans="1:28" ht="13.5" customHeight="1">
      <c r="A422" s="107"/>
      <c r="B422" s="111"/>
      <c r="C422" s="4" t="str">
        <f t="shared" si="94"/>
        <v>SP – Sum-of-the-parts value – Credit Suisse</v>
      </c>
      <c r="D422" s="77" t="s">
        <v>21</v>
      </c>
      <c r="E422" s="91"/>
      <c r="F422" s="118"/>
      <c r="G422" s="172"/>
      <c r="H422" s="172"/>
      <c r="I422" s="172"/>
      <c r="J422" s="172"/>
      <c r="K422" s="172"/>
      <c r="L422" s="172"/>
      <c r="M422" s="172"/>
      <c r="N422" s="172"/>
      <c r="O422" s="145" t="str">
        <f>IF(ISERROR(O415+O416+O417+O418+O419+O421),"–",O415+O416+O417+O418+O419+O421)</f>
        <v>–</v>
      </c>
      <c r="P422" s="145" t="str">
        <f>IF(ISERROR(P415+P416+P417+P418+P419+P421),"–",P415+P416+P417+P418+P419+P421)</f>
        <v>–</v>
      </c>
      <c r="Q422" s="466" t="str">
        <f>IF(ISERROR(Q415+Q416+Q417+Q418+Q419+Q421),"–",Q415+Q416+Q417+Q418+Q419+Q421)</f>
        <v>–</v>
      </c>
      <c r="R422" s="464"/>
      <c r="S422" s="91"/>
      <c r="T422" s="117"/>
      <c r="U422" s="38"/>
      <c r="V422" s="117"/>
      <c r="W422" s="91"/>
      <c r="X422" s="91"/>
      <c r="Y422" s="91"/>
      <c r="Z422" s="91"/>
      <c r="AA422" s="71"/>
      <c r="AB422" s="47"/>
    </row>
    <row r="423" spans="1:28" ht="13.5" customHeight="1">
      <c r="A423" s="107"/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05"/>
      <c r="AB423" s="47"/>
    </row>
    <row r="424" spans="1:28" ht="13.5" customHeight="1">
      <c r="A424" s="42"/>
      <c r="B424" s="43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43"/>
      <c r="AB424" s="47"/>
    </row>
    <row r="425" spans="1:28" ht="27" customHeight="1">
      <c r="A425" s="1"/>
      <c r="B425" s="66"/>
      <c r="C425" s="68" t="s">
        <v>93</v>
      </c>
      <c r="D425" s="459" t="s">
        <v>93</v>
      </c>
      <c r="E425" s="69"/>
      <c r="F425" s="69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69"/>
      <c r="S425" s="69"/>
      <c r="T425" s="69"/>
      <c r="U425" s="69"/>
      <c r="V425" s="69"/>
      <c r="W425" s="69"/>
      <c r="X425" s="69"/>
      <c r="Y425" s="69"/>
      <c r="Z425" s="69"/>
      <c r="AA425" s="70"/>
      <c r="AB425" s="47"/>
    </row>
    <row r="426" spans="1:28" ht="13.5" customHeight="1">
      <c r="A426" s="107"/>
      <c r="B426" s="108"/>
      <c r="C426" s="109"/>
      <c r="D426" s="109"/>
      <c r="E426" s="110"/>
      <c r="F426" s="110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Q426" s="171"/>
      <c r="R426" s="110"/>
      <c r="S426" s="110"/>
      <c r="T426" s="110"/>
      <c r="U426" s="110"/>
      <c r="V426" s="110"/>
      <c r="W426" s="110"/>
      <c r="X426" s="110"/>
      <c r="Y426" s="110"/>
      <c r="Z426" s="110"/>
      <c r="AA426" s="71"/>
      <c r="AB426" s="47"/>
    </row>
    <row r="427" spans="1:28" ht="13.5" customHeight="1">
      <c r="A427" s="107"/>
      <c r="B427" s="111"/>
      <c r="C427" s="4" t="str">
        <f>"AD – Additional line items – "&amp;D427</f>
        <v>AD – Additional line items – Additional line items data provided?</v>
      </c>
      <c r="D427" s="75" t="s">
        <v>94</v>
      </c>
      <c r="E427" s="91"/>
      <c r="F427" s="118"/>
      <c r="G427" s="172"/>
      <c r="H427" s="172"/>
      <c r="I427" s="172"/>
      <c r="J427" s="172"/>
      <c r="K427" s="172"/>
      <c r="L427" s="173">
        <f>IF(INDEX(CS_CONS_LINK_ARRAY,MATCH($C427,CS_CONS_LINK_COLUMN,0),MATCH(L$1,CS_CONS_LINK_ROW,0))="","",INDEX(CS_CONS_LINK_ARRAY,MATCH($C427,CS_CONS_LINK_COLUMN,0),MATCH(L$1,CS_CONS_LINK_ROW,0)))</f>
      </c>
      <c r="M427" s="172"/>
      <c r="N427" s="172"/>
      <c r="O427" s="173">
        <f>IF(INDEX(CS_CONS_LINK_ARRAY,MATCH($C427,CS_CONS_LINK_COLUMN,0),MATCH(O$1,CS_CONS_LINK_ROW,0))="","",INDEX(CS_CONS_LINK_ARRAY,MATCH($C427,CS_CONS_LINK_COLUMN,0),MATCH(O$1,CS_CONS_LINK_ROW,0)))</f>
      </c>
      <c r="P427" s="173">
        <f>IF(INDEX(CS_CONS_LINK_ARRAY,MATCH($C427,CS_CONS_LINK_COLUMN,0),MATCH(P$1,CS_CONS_LINK_ROW,0))="","",INDEX(CS_CONS_LINK_ARRAY,MATCH($C427,CS_CONS_LINK_COLUMN,0),MATCH(P$1,CS_CONS_LINK_ROW,0)))</f>
      </c>
      <c r="Q427" s="173">
        <f>IF(INDEX(CS_CONS_LINK_ARRAY,MATCH($C427,CS_CONS_LINK_COLUMN,0),MATCH(Q$1,CS_CONS_LINK_ROW,0))="","",INDEX(CS_CONS_LINK_ARRAY,MATCH($C427,CS_CONS_LINK_COLUMN,0),MATCH(Q$1,CS_CONS_LINK_ROW,0)))</f>
      </c>
      <c r="R427" s="464"/>
      <c r="S427" s="91"/>
      <c r="T427" s="117"/>
      <c r="U427" s="91"/>
      <c r="V427" s="117"/>
      <c r="W427" s="91"/>
      <c r="X427" s="37">
        <f>IF(ISERROR(O427),1,IF(O427="",1,0))</f>
        <v>1</v>
      </c>
      <c r="Y427" s="37">
        <f>IF(ISERROR(P427),1,IF(P427="",1,0))</f>
        <v>1</v>
      </c>
      <c r="Z427" s="37">
        <f>IF(ISERROR(Q427),1,IF(Q427="",1,0))</f>
        <v>1</v>
      </c>
      <c r="AA427" s="71"/>
      <c r="AB427" s="47"/>
    </row>
    <row r="428" spans="1:28" ht="13.5" customHeight="1">
      <c r="A428" s="107"/>
      <c r="B428" s="111"/>
      <c r="C428" s="113"/>
      <c r="D428" s="113"/>
      <c r="E428" s="112"/>
      <c r="F428" s="112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12"/>
      <c r="S428" s="112"/>
      <c r="T428" s="112"/>
      <c r="U428" s="112"/>
      <c r="V428" s="112"/>
      <c r="W428" s="112"/>
      <c r="X428" s="112"/>
      <c r="Y428" s="112"/>
      <c r="Z428" s="112"/>
      <c r="AA428" s="71"/>
      <c r="AB428" s="47"/>
    </row>
    <row r="429" spans="1:28" ht="13.5" customHeight="1">
      <c r="A429" s="107"/>
      <c r="B429" s="111"/>
      <c r="C429" s="114"/>
      <c r="D429" s="114" t="s">
        <v>181</v>
      </c>
      <c r="E429" s="223" t="s">
        <v>182</v>
      </c>
      <c r="F429" s="112"/>
      <c r="G429" s="286"/>
      <c r="H429" s="286"/>
      <c r="I429" s="286"/>
      <c r="J429" s="286"/>
      <c r="K429" s="286"/>
      <c r="L429" s="174"/>
      <c r="M429" s="174"/>
      <c r="N429" s="174"/>
      <c r="O429" s="174"/>
      <c r="P429" s="174"/>
      <c r="Q429" s="174"/>
      <c r="R429" s="112"/>
      <c r="S429" s="223"/>
      <c r="T429" s="112"/>
      <c r="U429" s="112"/>
      <c r="V429" s="112"/>
      <c r="W429" s="112"/>
      <c r="X429" s="112"/>
      <c r="Y429" s="112"/>
      <c r="Z429" s="112"/>
      <c r="AA429" s="71"/>
      <c r="AB429" s="47"/>
    </row>
    <row r="430" spans="1:37" ht="13.5" customHeight="1">
      <c r="A430" s="1"/>
      <c r="B430" s="111"/>
      <c r="C430" s="4" t="str">
        <f aca="true" t="shared" si="97" ref="C430:C448">"AD – "&amp;AF430&amp;" – Additional line items – "&amp;E430</f>
        <v>AD – SUBTOTAL – Additional line items – Restructuring SUB</v>
      </c>
      <c r="D430" s="211" t="s">
        <v>224</v>
      </c>
      <c r="E430" s="213" t="s">
        <v>254</v>
      </c>
      <c r="F430" s="180"/>
      <c r="G430" s="281">
        <v>52</v>
      </c>
      <c r="H430" s="281">
        <v>-4</v>
      </c>
      <c r="I430" s="281">
        <v>13</v>
      </c>
      <c r="J430" s="281">
        <v>-2</v>
      </c>
      <c r="K430" s="281">
        <v>28</v>
      </c>
      <c r="L430" s="141">
        <f aca="true" t="shared" si="98" ref="L430:L442">IF(L$427="No","–",IF(INDEX(CS_CONS_LINK_ARRAY,MATCH($C430,CS_CONS_LINK_COLUMN,0),MATCH(L$1,CS_CONS_LINK_ROW,0))="","",INDEX(CS_CONS_LINK_ARRAY,MATCH($C430,CS_CONS_LINK_COLUMN,0),MATCH(L$1,CS_CONS_LINK_ROW,0))))</f>
      </c>
      <c r="M430" s="181"/>
      <c r="N430" s="170">
        <v>59</v>
      </c>
      <c r="O430" s="141">
        <f aca="true" t="shared" si="99" ref="O430:Q442">IF(O$427="No","–",IF(INDEX(CS_CONS_LINK_ARRAY,MATCH($C430,CS_CONS_LINK_COLUMN,0),MATCH(O$1,CS_CONS_LINK_ROW,0))="","",INDEX(CS_CONS_LINK_ARRAY,MATCH($C430,CS_CONS_LINK_COLUMN,0),MATCH(O$1,CS_CONS_LINK_ROW,0))))</f>
      </c>
      <c r="P430" s="141">
        <f t="shared" si="99"/>
      </c>
      <c r="Q430" s="141">
        <f t="shared" si="99"/>
      </c>
      <c r="R430" s="465"/>
      <c r="S430" s="220"/>
      <c r="T430" s="33"/>
      <c r="U430" s="38" t="s">
        <v>26</v>
      </c>
      <c r="V430" s="27"/>
      <c r="W430" s="37">
        <f>IF(L430="–",0,IF($U430="Positive Number",IF(OR(L430&lt;0,ISTEXT(L430),ISERROR(L430)),1,0),IF(OR(ISTEXT(L430),ISERROR(L430)),1,0)))</f>
        <v>1</v>
      </c>
      <c r="X430" s="57">
        <f aca="true" t="shared" si="100" ref="X430:Z433">IF(O430="–",0,IF($U430="Positive Number",IF(OR(O430&lt;0,ISTEXT(O430),ISERROR(O430)),1,0),IF(OR(ISTEXT(O430),ISERROR(O430)),1,0)))</f>
        <v>1</v>
      </c>
      <c r="Y430" s="57">
        <f t="shared" si="100"/>
        <v>1</v>
      </c>
      <c r="Z430" s="57">
        <f t="shared" si="100"/>
        <v>1</v>
      </c>
      <c r="AA430" s="71"/>
      <c r="AB430" s="47"/>
      <c r="AF430" s="472" t="s">
        <v>253</v>
      </c>
      <c r="AG430" s="472"/>
      <c r="AI430" s="207"/>
      <c r="AJ430" s="207"/>
      <c r="AK430" s="207"/>
    </row>
    <row r="431" spans="1:37" ht="13.5" customHeight="1">
      <c r="A431" s="1"/>
      <c r="B431" s="111"/>
      <c r="C431" s="4" t="str">
        <f t="shared" si="97"/>
        <v>AD – IWMTOTAL – Additional line items – Restructuring IWM</v>
      </c>
      <c r="D431" s="211" t="s">
        <v>223</v>
      </c>
      <c r="E431" s="213" t="s">
        <v>231</v>
      </c>
      <c r="F431" s="180"/>
      <c r="G431" s="281">
        <v>36</v>
      </c>
      <c r="H431" s="281">
        <v>7</v>
      </c>
      <c r="I431" s="281">
        <v>16</v>
      </c>
      <c r="J431" s="281">
        <v>11</v>
      </c>
      <c r="K431" s="281">
        <v>26</v>
      </c>
      <c r="L431" s="141">
        <f t="shared" si="98"/>
      </c>
      <c r="M431" s="181"/>
      <c r="N431" s="170">
        <v>70</v>
      </c>
      <c r="O431" s="141">
        <f t="shared" si="99"/>
      </c>
      <c r="P431" s="141">
        <f t="shared" si="99"/>
      </c>
      <c r="Q431" s="141">
        <f t="shared" si="99"/>
      </c>
      <c r="R431" s="465"/>
      <c r="S431" s="220"/>
      <c r="T431" s="33"/>
      <c r="U431" s="38" t="s">
        <v>26</v>
      </c>
      <c r="V431" s="27"/>
      <c r="W431" s="37">
        <f>IF(L431="–",0,IF($U431="Positive Number",IF(OR(L431&lt;0,ISTEXT(L431),ISERROR(L431)),1,0),IF(OR(ISTEXT(L431),ISERROR(L431)),1,0)))</f>
        <v>1</v>
      </c>
      <c r="X431" s="57">
        <f t="shared" si="100"/>
        <v>1</v>
      </c>
      <c r="Y431" s="57">
        <f t="shared" si="100"/>
        <v>1</v>
      </c>
      <c r="Z431" s="57">
        <f t="shared" si="100"/>
        <v>1</v>
      </c>
      <c r="AA431" s="71"/>
      <c r="AB431" s="47"/>
      <c r="AF431" s="472" t="str">
        <f>VLOOKUP(D431,INPUT!$H$18:$I$31,2,FALSE)</f>
        <v>IWMTOTAL</v>
      </c>
      <c r="AG431" s="472"/>
      <c r="AI431" s="207"/>
      <c r="AJ431" s="207"/>
      <c r="AK431" s="207"/>
    </row>
    <row r="432" spans="1:37" ht="13.5" customHeight="1">
      <c r="A432" s="1"/>
      <c r="B432" s="111"/>
      <c r="C432" s="4" t="str">
        <f t="shared" si="97"/>
        <v>AD – APACTOTAL – Additional line items – Restructuring APAC</v>
      </c>
      <c r="D432" s="211" t="s">
        <v>222</v>
      </c>
      <c r="E432" s="213" t="s">
        <v>232</v>
      </c>
      <c r="F432" s="180"/>
      <c r="G432" s="281">
        <v>19</v>
      </c>
      <c r="H432" s="281">
        <v>11</v>
      </c>
      <c r="I432" s="281">
        <v>10</v>
      </c>
      <c r="J432" s="281">
        <v>23</v>
      </c>
      <c r="K432" s="281">
        <v>6</v>
      </c>
      <c r="L432" s="141">
        <f t="shared" si="98"/>
      </c>
      <c r="M432" s="181"/>
      <c r="N432" s="170">
        <v>63</v>
      </c>
      <c r="O432" s="141">
        <f t="shared" si="99"/>
      </c>
      <c r="P432" s="141">
        <f t="shared" si="99"/>
      </c>
      <c r="Q432" s="141">
        <f t="shared" si="99"/>
      </c>
      <c r="R432" s="465"/>
      <c r="S432" s="220"/>
      <c r="T432" s="33"/>
      <c r="U432" s="38" t="s">
        <v>26</v>
      </c>
      <c r="V432" s="27"/>
      <c r="W432" s="37">
        <f>IF(L432="–",0,IF($U432="Positive Number",IF(OR(L432&lt;0,ISTEXT(L432),ISERROR(L432)),1,0),IF(OR(ISTEXT(L432),ISERROR(L432)),1,0)))</f>
        <v>1</v>
      </c>
      <c r="X432" s="57">
        <f t="shared" si="100"/>
        <v>1</v>
      </c>
      <c r="Y432" s="57">
        <f t="shared" si="100"/>
        <v>1</v>
      </c>
      <c r="Z432" s="57">
        <f t="shared" si="100"/>
        <v>1</v>
      </c>
      <c r="AA432" s="71"/>
      <c r="AB432" s="47"/>
      <c r="AF432" s="472" t="str">
        <f>VLOOKUP(D432,INPUT!$H$18:$I$31,2,FALSE)</f>
        <v>APACTOTAL</v>
      </c>
      <c r="AG432" s="472"/>
      <c r="AI432" s="207"/>
      <c r="AJ432" s="207"/>
      <c r="AK432" s="207"/>
    </row>
    <row r="433" spans="1:37" ht="13.5" customHeight="1">
      <c r="A433" s="1"/>
      <c r="B433" s="111"/>
      <c r="C433" s="4" t="str">
        <f t="shared" si="97"/>
        <v>AD – GM – Additional line items – Restructuring GM</v>
      </c>
      <c r="D433" s="211" t="s">
        <v>192</v>
      </c>
      <c r="E433" s="213" t="s">
        <v>233</v>
      </c>
      <c r="F433" s="180"/>
      <c r="G433" s="281">
        <v>20</v>
      </c>
      <c r="H433" s="281">
        <v>32</v>
      </c>
      <c r="I433" s="281">
        <v>27</v>
      </c>
      <c r="J433" s="281">
        <v>71</v>
      </c>
      <c r="K433" s="281">
        <v>42</v>
      </c>
      <c r="L433" s="141">
        <f t="shared" si="98"/>
      </c>
      <c r="M433" s="181"/>
      <c r="N433" s="170">
        <v>150</v>
      </c>
      <c r="O433" s="141">
        <f t="shared" si="99"/>
      </c>
      <c r="P433" s="141">
        <f t="shared" si="99"/>
      </c>
      <c r="Q433" s="141">
        <f t="shared" si="99"/>
      </c>
      <c r="R433" s="465"/>
      <c r="S433" s="220"/>
      <c r="T433" s="33"/>
      <c r="U433" s="38" t="s">
        <v>26</v>
      </c>
      <c r="V433" s="27"/>
      <c r="W433" s="37">
        <f>IF(L433="–",0,IF($U433="Positive Number",IF(OR(L433&lt;0,ISTEXT(L433),ISERROR(L433)),1,0),IF(OR(ISTEXT(L433),ISERROR(L433)),1,0)))</f>
        <v>1</v>
      </c>
      <c r="X433" s="57">
        <f>IF(O433="–",0,IF($U433="Positive Number",IF(OR(O433&lt;0,ISTEXT(O433),ISERROR(O433)),1,0),IF(OR(ISTEXT(O433),ISERROR(O433)),1,0)))</f>
        <v>1</v>
      </c>
      <c r="Y433" s="57">
        <f t="shared" si="100"/>
        <v>1</v>
      </c>
      <c r="Z433" s="57">
        <f t="shared" si="100"/>
        <v>1</v>
      </c>
      <c r="AA433" s="71"/>
      <c r="AB433" s="47"/>
      <c r="AF433" s="472" t="str">
        <f>VLOOKUP(D433,INPUT!$H$18:$I$31,2,FALSE)</f>
        <v>GM</v>
      </c>
      <c r="AG433" s="472"/>
      <c r="AI433" s="207"/>
      <c r="AJ433" s="207"/>
      <c r="AK433" s="207"/>
    </row>
    <row r="434" spans="1:37" ht="13.5" customHeight="1">
      <c r="A434" s="1"/>
      <c r="B434" s="111"/>
      <c r="C434" s="4" t="str">
        <f t="shared" si="97"/>
        <v>AD – IBCM – Additional line items – Restructuring IBCM</v>
      </c>
      <c r="D434" s="211" t="s">
        <v>186</v>
      </c>
      <c r="E434" s="213" t="s">
        <v>234</v>
      </c>
      <c r="F434" s="180"/>
      <c r="G434" s="281">
        <v>2</v>
      </c>
      <c r="H434" s="281">
        <v>10</v>
      </c>
      <c r="I434" s="281">
        <v>16</v>
      </c>
      <c r="J434" s="281">
        <v>14</v>
      </c>
      <c r="K434" s="281">
        <v>30</v>
      </c>
      <c r="L434" s="141">
        <f t="shared" si="98"/>
      </c>
      <c r="M434" s="181"/>
      <c r="N434" s="170">
        <v>42</v>
      </c>
      <c r="O434" s="141">
        <f t="shared" si="99"/>
      </c>
      <c r="P434" s="141">
        <f t="shared" si="99"/>
      </c>
      <c r="Q434" s="141">
        <f t="shared" si="99"/>
      </c>
      <c r="R434" s="465"/>
      <c r="S434" s="220"/>
      <c r="T434" s="33"/>
      <c r="U434" s="38" t="s">
        <v>26</v>
      </c>
      <c r="V434" s="27"/>
      <c r="W434" s="37">
        <f>IF(L434="–",0,IF($U434="Positive Number",IF(OR(L434&lt;0,ISTEXT(L434),ISERROR(L434)),1,0),IF(OR(ISTEXT(L434),ISERROR(L434)),1,0)))</f>
        <v>1</v>
      </c>
      <c r="X434" s="57">
        <f>IF(O434="–",0,IF($U434="Positive Number",IF(OR(O434&lt;0,ISTEXT(O434),ISERROR(O434)),1,0),IF(OR(ISTEXT(O434),ISERROR(O434)),1,0)))</f>
        <v>1</v>
      </c>
      <c r="Y434" s="57">
        <f>IF(P434="–",0,IF($U434="Positive Number",IF(OR(P434&lt;0,ISTEXT(P434),ISERROR(P434)),1,0),IF(OR(ISTEXT(P434),ISERROR(P434)),1,0)))</f>
        <v>1</v>
      </c>
      <c r="Z434" s="57">
        <f>IF(Q434="–",0,IF($U434="Positive Number",IF(OR(Q434&lt;0,ISTEXT(Q434),ISERROR(Q434)),1,0),IF(OR(ISTEXT(Q434),ISERROR(Q434)),1,0)))</f>
        <v>1</v>
      </c>
      <c r="AA434" s="71"/>
      <c r="AB434" s="47"/>
      <c r="AF434" s="472" t="str">
        <f>VLOOKUP(D434,INPUT!$H$18:$I$31,2,FALSE)</f>
        <v>IBCM</v>
      </c>
      <c r="AG434" s="472"/>
      <c r="AI434" s="207"/>
      <c r="AJ434" s="207"/>
      <c r="AK434" s="207"/>
    </row>
    <row r="435" spans="1:37" ht="13.5" customHeight="1">
      <c r="A435" s="1"/>
      <c r="B435" s="111"/>
      <c r="C435" s="4" t="str">
        <f t="shared" si="97"/>
        <v>AD – SRU – Additional line items – Restructuring SRU</v>
      </c>
      <c r="D435" s="211" t="s">
        <v>188</v>
      </c>
      <c r="E435" s="213" t="s">
        <v>235</v>
      </c>
      <c r="F435" s="180"/>
      <c r="G435" s="281">
        <v>7</v>
      </c>
      <c r="H435" s="281">
        <v>11</v>
      </c>
      <c r="I435" s="281">
        <v>21</v>
      </c>
      <c r="J435" s="281">
        <v>18</v>
      </c>
      <c r="K435" s="281">
        <v>11</v>
      </c>
      <c r="L435" s="141">
        <f t="shared" si="98"/>
      </c>
      <c r="M435" s="181"/>
      <c r="N435" s="170">
        <v>57</v>
      </c>
      <c r="O435" s="141">
        <f t="shared" si="99"/>
      </c>
      <c r="P435" s="141">
        <f t="shared" si="99"/>
      </c>
      <c r="Q435" s="141">
        <f t="shared" si="99"/>
      </c>
      <c r="R435" s="465"/>
      <c r="S435" s="220"/>
      <c r="T435" s="33"/>
      <c r="U435" s="38"/>
      <c r="V435" s="27"/>
      <c r="W435" s="37"/>
      <c r="X435" s="57"/>
      <c r="Y435" s="57"/>
      <c r="Z435" s="57"/>
      <c r="AA435" s="71"/>
      <c r="AB435" s="47"/>
      <c r="AF435" s="472" t="str">
        <f>VLOOKUP(D435,INPUT!$H$18:$I$31,2,FALSE)</f>
        <v>SRU</v>
      </c>
      <c r="AG435" s="472"/>
      <c r="AI435" s="207"/>
      <c r="AJ435" s="207"/>
      <c r="AK435" s="207"/>
    </row>
    <row r="436" spans="1:37" ht="13.5" customHeight="1">
      <c r="A436" s="1"/>
      <c r="B436" s="111"/>
      <c r="C436" s="4" t="str">
        <f t="shared" si="97"/>
        <v>AD – SUBTOTAL – Additional line items – Litigation SUB</v>
      </c>
      <c r="D436" s="211" t="s">
        <v>224</v>
      </c>
      <c r="E436" s="213" t="s">
        <v>255</v>
      </c>
      <c r="F436" s="180"/>
      <c r="G436" s="281">
        <v>27</v>
      </c>
      <c r="H436" s="281">
        <v>6</v>
      </c>
      <c r="I436" s="281">
        <v>9</v>
      </c>
      <c r="J436" s="281">
        <v>7</v>
      </c>
      <c r="K436" s="281">
        <v>0</v>
      </c>
      <c r="L436" s="141">
        <f t="shared" si="98"/>
      </c>
      <c r="M436" s="181"/>
      <c r="N436" s="170">
        <v>49</v>
      </c>
      <c r="O436" s="141">
        <f t="shared" si="99"/>
      </c>
      <c r="P436" s="141">
        <f t="shared" si="99"/>
      </c>
      <c r="Q436" s="141">
        <f t="shared" si="99"/>
      </c>
      <c r="R436" s="465"/>
      <c r="S436" s="220"/>
      <c r="T436" s="33"/>
      <c r="U436" s="38"/>
      <c r="V436" s="27"/>
      <c r="W436" s="37"/>
      <c r="X436" s="57"/>
      <c r="Y436" s="57"/>
      <c r="Z436" s="57"/>
      <c r="AA436" s="71"/>
      <c r="AB436" s="47"/>
      <c r="AF436" s="472" t="s">
        <v>253</v>
      </c>
      <c r="AG436" s="472"/>
      <c r="AI436" s="207"/>
      <c r="AJ436" s="207"/>
      <c r="AK436" s="207"/>
    </row>
    <row r="437" spans="1:37" ht="13.5" customHeight="1">
      <c r="A437" s="1"/>
      <c r="B437" s="111"/>
      <c r="C437" s="4" t="str">
        <f t="shared" si="97"/>
        <v>AD – IWMTOTAL – Additional line items – Litigation IWM</v>
      </c>
      <c r="D437" s="211" t="s">
        <v>223</v>
      </c>
      <c r="E437" s="213" t="s">
        <v>236</v>
      </c>
      <c r="F437" s="180"/>
      <c r="G437" s="281">
        <v>0</v>
      </c>
      <c r="H437" s="281">
        <v>6</v>
      </c>
      <c r="I437" s="281">
        <v>11</v>
      </c>
      <c r="J437" s="281">
        <v>31</v>
      </c>
      <c r="K437" s="281">
        <v>0</v>
      </c>
      <c r="L437" s="141">
        <f t="shared" si="98"/>
      </c>
      <c r="M437" s="181"/>
      <c r="N437" s="170">
        <v>48</v>
      </c>
      <c r="O437" s="141">
        <f t="shared" si="99"/>
      </c>
      <c r="P437" s="141">
        <f t="shared" si="99"/>
      </c>
      <c r="Q437" s="141">
        <f t="shared" si="99"/>
      </c>
      <c r="R437" s="465"/>
      <c r="S437" s="220"/>
      <c r="T437" s="33"/>
      <c r="U437" s="38"/>
      <c r="V437" s="27"/>
      <c r="W437" s="37"/>
      <c r="X437" s="57"/>
      <c r="Y437" s="57"/>
      <c r="Z437" s="57"/>
      <c r="AA437" s="71"/>
      <c r="AB437" s="47"/>
      <c r="AF437" s="472" t="str">
        <f>VLOOKUP(D437,INPUT!$H$18:$I$31,2,FALSE)</f>
        <v>IWMTOTAL</v>
      </c>
      <c r="AG437" s="472"/>
      <c r="AI437" s="207"/>
      <c r="AJ437" s="207"/>
      <c r="AK437" s="207"/>
    </row>
    <row r="438" spans="1:37" ht="13.5" customHeight="1">
      <c r="A438" s="1"/>
      <c r="B438" s="111"/>
      <c r="C438" s="4" t="str">
        <f t="shared" si="97"/>
        <v>AD – APACTOTAL – Additional line items – Litigation APAC</v>
      </c>
      <c r="D438" s="211" t="s">
        <v>222</v>
      </c>
      <c r="E438" s="213" t="s">
        <v>237</v>
      </c>
      <c r="F438" s="180"/>
      <c r="G438" s="281">
        <v>0</v>
      </c>
      <c r="H438" s="281">
        <v>0</v>
      </c>
      <c r="I438" s="281">
        <v>0</v>
      </c>
      <c r="J438" s="281">
        <v>0</v>
      </c>
      <c r="K438" s="281">
        <v>48</v>
      </c>
      <c r="L438" s="141">
        <f t="shared" si="98"/>
      </c>
      <c r="M438" s="181"/>
      <c r="N438" s="170">
        <v>0</v>
      </c>
      <c r="O438" s="141">
        <f t="shared" si="99"/>
      </c>
      <c r="P438" s="141">
        <f t="shared" si="99"/>
      </c>
      <c r="Q438" s="141">
        <f t="shared" si="99"/>
      </c>
      <c r="R438" s="465"/>
      <c r="S438" s="220"/>
      <c r="T438" s="33"/>
      <c r="U438" s="38"/>
      <c r="V438" s="27"/>
      <c r="W438" s="37"/>
      <c r="X438" s="57"/>
      <c r="Y438" s="57"/>
      <c r="Z438" s="57"/>
      <c r="AA438" s="71"/>
      <c r="AB438" s="47"/>
      <c r="AF438" s="472" t="str">
        <f>VLOOKUP(D438,INPUT!$H$18:$I$31,2,FALSE)</f>
        <v>APACTOTAL</v>
      </c>
      <c r="AG438" s="472"/>
      <c r="AI438" s="207"/>
      <c r="AJ438" s="207"/>
      <c r="AK438" s="207"/>
    </row>
    <row r="439" spans="1:37" ht="13.5" customHeight="1">
      <c r="A439" s="1"/>
      <c r="B439" s="111"/>
      <c r="C439" s="4" t="str">
        <f t="shared" si="97"/>
        <v>AD – GM – Additional line items – Litigation GM</v>
      </c>
      <c r="D439" s="211" t="s">
        <v>192</v>
      </c>
      <c r="E439" s="213" t="s">
        <v>238</v>
      </c>
      <c r="F439" s="180"/>
      <c r="G439" s="281">
        <v>0</v>
      </c>
      <c r="H439" s="281">
        <v>0</v>
      </c>
      <c r="I439" s="281">
        <v>0</v>
      </c>
      <c r="J439" s="281">
        <v>0</v>
      </c>
      <c r="K439" s="281">
        <v>0</v>
      </c>
      <c r="L439" s="141">
        <f t="shared" si="98"/>
      </c>
      <c r="M439" s="181"/>
      <c r="N439" s="170">
        <v>0</v>
      </c>
      <c r="O439" s="141">
        <f t="shared" si="99"/>
      </c>
      <c r="P439" s="141">
        <f t="shared" si="99"/>
      </c>
      <c r="Q439" s="141">
        <f t="shared" si="99"/>
      </c>
      <c r="R439" s="465"/>
      <c r="S439" s="220"/>
      <c r="T439" s="33"/>
      <c r="U439" s="38"/>
      <c r="V439" s="27"/>
      <c r="W439" s="37"/>
      <c r="X439" s="57"/>
      <c r="Y439" s="57"/>
      <c r="Z439" s="57"/>
      <c r="AA439" s="71"/>
      <c r="AB439" s="47"/>
      <c r="AF439" s="472" t="str">
        <f>VLOOKUP(D439,INPUT!$H$18:$I$31,2,FALSE)</f>
        <v>GM</v>
      </c>
      <c r="AG439" s="472"/>
      <c r="AI439" s="207"/>
      <c r="AJ439" s="207"/>
      <c r="AK439" s="207"/>
    </row>
    <row r="440" spans="1:37" ht="13.5" customHeight="1">
      <c r="A440" s="1"/>
      <c r="B440" s="111"/>
      <c r="C440" s="4" t="str">
        <f t="shared" si="97"/>
        <v>AD – IBCM – Additional line items – Litigation IBCM</v>
      </c>
      <c r="D440" s="211" t="s">
        <v>186</v>
      </c>
      <c r="E440" s="213" t="s">
        <v>239</v>
      </c>
      <c r="F440" s="180"/>
      <c r="G440" s="281">
        <v>0</v>
      </c>
      <c r="H440" s="281">
        <v>0</v>
      </c>
      <c r="I440" s="281">
        <v>0</v>
      </c>
      <c r="J440" s="281">
        <v>0</v>
      </c>
      <c r="K440" s="281">
        <v>0</v>
      </c>
      <c r="L440" s="141">
        <f t="shared" si="98"/>
      </c>
      <c r="M440" s="181"/>
      <c r="N440" s="170">
        <v>0</v>
      </c>
      <c r="O440" s="141">
        <f t="shared" si="99"/>
      </c>
      <c r="P440" s="141">
        <f t="shared" si="99"/>
      </c>
      <c r="Q440" s="141">
        <f t="shared" si="99"/>
      </c>
      <c r="R440" s="465"/>
      <c r="S440" s="220"/>
      <c r="T440" s="33"/>
      <c r="U440" s="38"/>
      <c r="V440" s="27"/>
      <c r="W440" s="37"/>
      <c r="X440" s="57"/>
      <c r="Y440" s="57"/>
      <c r="Z440" s="57"/>
      <c r="AA440" s="71"/>
      <c r="AB440" s="47"/>
      <c r="AF440" s="472" t="str">
        <f>VLOOKUP(D440,INPUT!$H$18:$I$31,2,FALSE)</f>
        <v>IBCM</v>
      </c>
      <c r="AG440" s="472"/>
      <c r="AI440" s="207"/>
      <c r="AJ440" s="207"/>
      <c r="AK440" s="207"/>
    </row>
    <row r="441" spans="1:37" ht="13.5" customHeight="1">
      <c r="A441" s="1"/>
      <c r="B441" s="111"/>
      <c r="C441" s="4" t="str">
        <f t="shared" si="97"/>
        <v>AD – SRU – Additional line items – Litigation SRU</v>
      </c>
      <c r="D441" s="211" t="s">
        <v>188</v>
      </c>
      <c r="E441" s="213" t="s">
        <v>240</v>
      </c>
      <c r="F441" s="180"/>
      <c r="G441" s="281">
        <v>70</v>
      </c>
      <c r="H441" s="281">
        <v>21</v>
      </c>
      <c r="I441" s="281">
        <v>88</v>
      </c>
      <c r="J441" s="281">
        <v>90</v>
      </c>
      <c r="K441" s="281">
        <v>37</v>
      </c>
      <c r="L441" s="141">
        <f t="shared" si="98"/>
      </c>
      <c r="M441" s="181"/>
      <c r="N441" s="170">
        <v>269</v>
      </c>
      <c r="O441" s="141">
        <f t="shared" si="99"/>
      </c>
      <c r="P441" s="141">
        <f t="shared" si="99"/>
      </c>
      <c r="Q441" s="141">
        <f t="shared" si="99"/>
      </c>
      <c r="R441" s="465"/>
      <c r="S441" s="220"/>
      <c r="T441" s="33"/>
      <c r="U441" s="38"/>
      <c r="V441" s="27"/>
      <c r="W441" s="37"/>
      <c r="X441" s="57"/>
      <c r="Y441" s="57"/>
      <c r="Z441" s="57"/>
      <c r="AA441" s="71"/>
      <c r="AB441" s="47"/>
      <c r="AF441" s="472" t="str">
        <f>VLOOKUP(D441,INPUT!$H$18:$I$31,2,FALSE)</f>
        <v>SRU</v>
      </c>
      <c r="AG441" s="472"/>
      <c r="AI441" s="207"/>
      <c r="AJ441" s="207"/>
      <c r="AK441" s="207"/>
    </row>
    <row r="442" spans="1:37" ht="13.5" customHeight="1">
      <c r="A442" s="1"/>
      <c r="B442" s="111"/>
      <c r="C442" s="4" t="str">
        <f t="shared" si="97"/>
        <v>AD – SRU – Additional line items – Real Estate gains &amp; gains on business sales</v>
      </c>
      <c r="D442" s="211" t="s">
        <v>188</v>
      </c>
      <c r="E442" s="213" t="s">
        <v>229</v>
      </c>
      <c r="F442" s="180"/>
      <c r="G442" s="281">
        <v>-38</v>
      </c>
      <c r="H442" s="281">
        <v>0</v>
      </c>
      <c r="I442" s="281">
        <v>0</v>
      </c>
      <c r="J442" s="281">
        <v>0</v>
      </c>
      <c r="K442" s="281">
        <v>-1</v>
      </c>
      <c r="L442" s="141">
        <f t="shared" si="98"/>
      </c>
      <c r="M442" s="181"/>
      <c r="N442" s="170">
        <v>-38</v>
      </c>
      <c r="O442" s="141">
        <f t="shared" si="99"/>
      </c>
      <c r="P442" s="141">
        <f t="shared" si="99"/>
      </c>
      <c r="Q442" s="141">
        <f t="shared" si="99"/>
      </c>
      <c r="R442" s="465"/>
      <c r="S442" s="220"/>
      <c r="T442" s="33"/>
      <c r="U442" s="38" t="s">
        <v>26</v>
      </c>
      <c r="V442" s="27"/>
      <c r="W442" s="37">
        <f>IF(L442="–",0,IF($U442="Positive Number",IF(OR(L442&lt;0,ISTEXT(L442),ISERROR(L442)),1,0),IF(OR(ISTEXT(L442),ISERROR(L442)),1,0)))</f>
        <v>1</v>
      </c>
      <c r="X442" s="57">
        <f aca="true" t="shared" si="101" ref="X442:Z443">IF(O442="–",0,IF($U442="Positive Number",IF(OR(O442&lt;0,ISTEXT(O442),ISERROR(O442)),1,0),IF(OR(ISTEXT(O442),ISERROR(O442)),1,0)))</f>
        <v>1</v>
      </c>
      <c r="Y442" s="57">
        <f t="shared" si="101"/>
        <v>1</v>
      </c>
      <c r="Z442" s="57">
        <f t="shared" si="101"/>
        <v>1</v>
      </c>
      <c r="AA442" s="71"/>
      <c r="AB442" s="47"/>
      <c r="AF442" s="472" t="str">
        <f>VLOOKUP(D442,INPUT!$H$18:$I$31,2,FALSE)</f>
        <v>SRU</v>
      </c>
      <c r="AG442" s="472"/>
      <c r="AI442" s="207"/>
      <c r="AJ442" s="207"/>
      <c r="AK442" s="207"/>
    </row>
    <row r="443" spans="1:37" ht="13.5" customHeight="1">
      <c r="A443" s="1"/>
      <c r="B443" s="111"/>
      <c r="C443" s="4" t="str">
        <f t="shared" si="97"/>
        <v>AD – SUBTOTAL – Additional line items – Real Estate gains &amp; gains on business sales</v>
      </c>
      <c r="D443" s="211" t="s">
        <v>224</v>
      </c>
      <c r="E443" s="213" t="s">
        <v>229</v>
      </c>
      <c r="F443" s="180"/>
      <c r="G443" s="281">
        <v>0</v>
      </c>
      <c r="H443" s="281">
        <v>0</v>
      </c>
      <c r="I443" s="281">
        <v>0</v>
      </c>
      <c r="J443" s="281">
        <v>0</v>
      </c>
      <c r="K443" s="281">
        <v>-37</v>
      </c>
      <c r="L443" s="214"/>
      <c r="M443" s="181"/>
      <c r="N443" s="170">
        <v>0</v>
      </c>
      <c r="O443" s="214"/>
      <c r="P443" s="214"/>
      <c r="Q443" s="463"/>
      <c r="R443" s="465"/>
      <c r="S443" s="220"/>
      <c r="T443" s="33"/>
      <c r="U443" s="38" t="s">
        <v>26</v>
      </c>
      <c r="V443" s="27"/>
      <c r="W443" s="37">
        <f>IF(L443="–",0,IF($U443="Positive Number",IF(OR(L443&lt;0,ISTEXT(L443),ISERROR(L443)),1,0),IF(OR(ISTEXT(L443),ISERROR(L443)),1,0)))</f>
        <v>0</v>
      </c>
      <c r="X443" s="57">
        <f t="shared" si="101"/>
        <v>0</v>
      </c>
      <c r="Y443" s="57">
        <f t="shared" si="101"/>
        <v>0</v>
      </c>
      <c r="Z443" s="57">
        <f t="shared" si="101"/>
        <v>0</v>
      </c>
      <c r="AA443" s="71"/>
      <c r="AB443" s="47"/>
      <c r="AF443" s="472" t="s">
        <v>253</v>
      </c>
      <c r="AI443" s="207"/>
      <c r="AJ443" s="207"/>
      <c r="AK443" s="207"/>
    </row>
    <row r="444" spans="1:37" ht="13.5" customHeight="1">
      <c r="A444" s="1"/>
      <c r="B444" s="111"/>
      <c r="C444" s="4" t="str">
        <f t="shared" si="97"/>
        <v>AD – CC – Additional line items – Real Estate gains &amp; gains on business sales</v>
      </c>
      <c r="D444" s="211" t="s">
        <v>155</v>
      </c>
      <c r="E444" s="213" t="s">
        <v>229</v>
      </c>
      <c r="F444" s="180"/>
      <c r="G444" s="281">
        <v>23</v>
      </c>
      <c r="H444" s="281">
        <v>0</v>
      </c>
      <c r="I444" s="281">
        <v>0</v>
      </c>
      <c r="J444" s="281">
        <v>0</v>
      </c>
      <c r="K444" s="281">
        <v>0</v>
      </c>
      <c r="L444" s="214"/>
      <c r="M444" s="181"/>
      <c r="N444" s="281">
        <v>23</v>
      </c>
      <c r="O444" s="214"/>
      <c r="P444" s="214"/>
      <c r="Q444" s="463"/>
      <c r="R444" s="465"/>
      <c r="S444" s="220"/>
      <c r="T444" s="33"/>
      <c r="U444" s="38"/>
      <c r="V444" s="27"/>
      <c r="W444" s="37"/>
      <c r="X444" s="57"/>
      <c r="Y444" s="57"/>
      <c r="Z444" s="57"/>
      <c r="AA444" s="71"/>
      <c r="AB444" s="47"/>
      <c r="AF444" s="472" t="str">
        <f>VLOOKUP(D444,INPUT!$H$18:$I$31,2,FALSE)</f>
        <v>CC</v>
      </c>
      <c r="AI444" s="207"/>
      <c r="AJ444" s="207"/>
      <c r="AK444" s="207"/>
    </row>
    <row r="445" spans="1:37" ht="13.5" customHeight="1">
      <c r="A445" s="1"/>
      <c r="B445" s="111"/>
      <c r="C445" s="4" t="str">
        <f t="shared" si="97"/>
        <v>AD – IWMTOTAL – Additional line items – Real Estate gains &amp; gains on business sales</v>
      </c>
      <c r="D445" s="211" t="s">
        <v>223</v>
      </c>
      <c r="E445" s="213" t="s">
        <v>229</v>
      </c>
      <c r="F445" s="180"/>
      <c r="G445" s="281">
        <v>0</v>
      </c>
      <c r="H445" s="281">
        <v>0</v>
      </c>
      <c r="I445" s="281">
        <v>0</v>
      </c>
      <c r="J445" s="281">
        <v>28</v>
      </c>
      <c r="K445" s="281">
        <v>-36</v>
      </c>
      <c r="L445" s="214"/>
      <c r="M445" s="181"/>
      <c r="N445" s="170">
        <v>28</v>
      </c>
      <c r="O445" s="214"/>
      <c r="P445" s="214"/>
      <c r="Q445" s="463"/>
      <c r="R445" s="465"/>
      <c r="S445" s="220"/>
      <c r="T445" s="33"/>
      <c r="U445" s="38" t="s">
        <v>26</v>
      </c>
      <c r="V445" s="27"/>
      <c r="W445" s="37">
        <f>IF(L445="–",0,IF($U445="Positive Number",IF(OR(L445&lt;0,ISTEXT(L445),ISERROR(L445)),1,0),IF(OR(ISTEXT(L445),ISERROR(L445)),1,0)))</f>
        <v>0</v>
      </c>
      <c r="X445" s="57">
        <f aca="true" t="shared" si="102" ref="X445:Z446">IF(O445="–",0,IF($U445="Positive Number",IF(OR(O445&lt;0,ISTEXT(O445),ISERROR(O445)),1,0),IF(OR(ISTEXT(O445),ISERROR(O445)),1,0)))</f>
        <v>0</v>
      </c>
      <c r="Y445" s="57">
        <f t="shared" si="102"/>
        <v>0</v>
      </c>
      <c r="Z445" s="57">
        <f t="shared" si="102"/>
        <v>0</v>
      </c>
      <c r="AA445" s="71"/>
      <c r="AB445" s="47"/>
      <c r="AF445" s="472" t="str">
        <f>VLOOKUP(D445,INPUT!$H$18:$I$31,2,FALSE)</f>
        <v>IWMTOTAL</v>
      </c>
      <c r="AI445" s="207"/>
      <c r="AJ445" s="207"/>
      <c r="AK445" s="207"/>
    </row>
    <row r="446" spans="1:37" ht="13.5" customHeight="1">
      <c r="A446" s="1"/>
      <c r="B446" s="111"/>
      <c r="C446" s="4" t="str">
        <f t="shared" si="97"/>
        <v>AD – CC – Additional line items – Restructuring CC</v>
      </c>
      <c r="D446" s="211" t="s">
        <v>155</v>
      </c>
      <c r="E446" s="213" t="s">
        <v>272</v>
      </c>
      <c r="F446" s="180"/>
      <c r="G446" s="281">
        <v>1</v>
      </c>
      <c r="H446" s="281">
        <v>2</v>
      </c>
      <c r="I446" s="281">
        <v>9</v>
      </c>
      <c r="J446" s="281">
        <v>2</v>
      </c>
      <c r="K446" s="281">
        <v>1</v>
      </c>
      <c r="L446" s="214"/>
      <c r="M446" s="181"/>
      <c r="N446" s="170">
        <v>14</v>
      </c>
      <c r="O446" s="214"/>
      <c r="P446" s="214"/>
      <c r="Q446" s="463"/>
      <c r="R446" s="465"/>
      <c r="S446" s="220"/>
      <c r="T446" s="33"/>
      <c r="U446" s="38" t="s">
        <v>26</v>
      </c>
      <c r="V446" s="27"/>
      <c r="W446" s="37">
        <f>IF(L446="–",0,IF($U446="Positive Number",IF(OR(L446&lt;0,ISTEXT(L446),ISERROR(L446)),1,0),IF(OR(ISTEXT(L446),ISERROR(L446)),1,0)))</f>
        <v>0</v>
      </c>
      <c r="X446" s="57">
        <f t="shared" si="102"/>
        <v>0</v>
      </c>
      <c r="Y446" s="57">
        <f t="shared" si="102"/>
        <v>0</v>
      </c>
      <c r="Z446" s="57">
        <f t="shared" si="102"/>
        <v>0</v>
      </c>
      <c r="AA446" s="71"/>
      <c r="AB446" s="47"/>
      <c r="AF446" s="472" t="str">
        <f>VLOOKUP(D446,INPUT!$H$18:$I$31,2,FALSE)</f>
        <v>CC</v>
      </c>
      <c r="AI446" s="207"/>
      <c r="AJ446" s="207"/>
      <c r="AK446" s="207"/>
    </row>
    <row r="447" spans="1:37" ht="13.5" customHeight="1">
      <c r="A447" s="1"/>
      <c r="B447" s="111"/>
      <c r="C447" s="4" t="str">
        <f t="shared" si="97"/>
        <v>AD – CC – Additional line items – Litigation CC</v>
      </c>
      <c r="D447" s="211" t="s">
        <v>155</v>
      </c>
      <c r="E447" s="213" t="s">
        <v>298</v>
      </c>
      <c r="F447" s="180"/>
      <c r="G447" s="281">
        <v>1</v>
      </c>
      <c r="H447" s="281">
        <v>2</v>
      </c>
      <c r="I447" s="281">
        <v>9</v>
      </c>
      <c r="J447" s="281">
        <v>2</v>
      </c>
      <c r="K447" s="281">
        <v>0</v>
      </c>
      <c r="L447" s="214"/>
      <c r="M447" s="181"/>
      <c r="N447" s="170">
        <v>14</v>
      </c>
      <c r="O447" s="214"/>
      <c r="P447" s="214"/>
      <c r="Q447" s="463"/>
      <c r="R447" s="465"/>
      <c r="S447" s="220"/>
      <c r="T447" s="33"/>
      <c r="U447" s="38" t="s">
        <v>26</v>
      </c>
      <c r="V447" s="27"/>
      <c r="W447" s="37">
        <f>IF(L447="–",0,IF($U447="Positive Number",IF(OR(L447&lt;0,ISTEXT(L447),ISERROR(L447)),1,0),IF(OR(ISTEXT(L447),ISERROR(L447)),1,0)))</f>
        <v>0</v>
      </c>
      <c r="X447" s="57">
        <f aca="true" t="shared" si="103" ref="X447:Z448">IF(O447="–",0,IF($U447="Positive Number",IF(OR(O447&lt;0,ISTEXT(O447),ISERROR(O447)),1,0),IF(OR(ISTEXT(O447),ISERROR(O447)),1,0)))</f>
        <v>0</v>
      </c>
      <c r="Y447" s="57">
        <f t="shared" si="103"/>
        <v>0</v>
      </c>
      <c r="Z447" s="57">
        <f t="shared" si="103"/>
        <v>0</v>
      </c>
      <c r="AA447" s="71"/>
      <c r="AB447" s="47"/>
      <c r="AF447" s="472" t="str">
        <f>VLOOKUP(D447,INPUT!$H$18:$I$31,2,FALSE)</f>
        <v>CC</v>
      </c>
      <c r="AI447" s="207"/>
      <c r="AJ447" s="207"/>
      <c r="AK447" s="207"/>
    </row>
    <row r="448" spans="1:37" ht="13.5" customHeight="1">
      <c r="A448" s="1"/>
      <c r="B448" s="111"/>
      <c r="C448" s="4" t="str">
        <f t="shared" si="97"/>
        <v>AD – GM – Additional line items – Expenses related to business sale</v>
      </c>
      <c r="D448" s="211" t="s">
        <v>192</v>
      </c>
      <c r="E448" s="213" t="s">
        <v>297</v>
      </c>
      <c r="F448" s="180"/>
      <c r="G448" s="281">
        <v>0</v>
      </c>
      <c r="H448" s="281">
        <v>0</v>
      </c>
      <c r="I448" s="281">
        <v>0</v>
      </c>
      <c r="J448" s="281">
        <v>8</v>
      </c>
      <c r="K448" s="281">
        <v>0</v>
      </c>
      <c r="L448" s="214"/>
      <c r="M448" s="181"/>
      <c r="N448" s="170">
        <v>8</v>
      </c>
      <c r="O448" s="214"/>
      <c r="P448" s="214"/>
      <c r="Q448" s="463"/>
      <c r="R448" s="465"/>
      <c r="S448" s="220"/>
      <c r="T448" s="33"/>
      <c r="U448" s="38" t="s">
        <v>26</v>
      </c>
      <c r="V448" s="27"/>
      <c r="W448" s="37">
        <f>IF(L448="–",0,IF($U448="Positive Number",IF(OR(L448&lt;0,ISTEXT(L448),ISERROR(L448)),1,0),IF(OR(ISTEXT(L448),ISERROR(L448)),1,0)))</f>
        <v>0</v>
      </c>
      <c r="X448" s="57">
        <f t="shared" si="103"/>
        <v>0</v>
      </c>
      <c r="Y448" s="57">
        <f t="shared" si="103"/>
        <v>0</v>
      </c>
      <c r="Z448" s="57">
        <f t="shared" si="103"/>
        <v>0</v>
      </c>
      <c r="AA448" s="71"/>
      <c r="AB448" s="47"/>
      <c r="AF448" s="472" t="str">
        <f>VLOOKUP(D448,INPUT!$H$18:$I$31,2,FALSE)</f>
        <v>GM</v>
      </c>
      <c r="AI448" s="207"/>
      <c r="AJ448" s="207"/>
      <c r="AK448" s="207"/>
    </row>
    <row r="449" spans="1:37" ht="13.5" customHeight="1">
      <c r="A449" s="107"/>
      <c r="B449" s="111"/>
      <c r="C449" s="113"/>
      <c r="D449" s="113"/>
      <c r="E449" s="112"/>
      <c r="F449" s="112"/>
      <c r="G449" s="287"/>
      <c r="H449" s="287"/>
      <c r="I449" s="287"/>
      <c r="J449" s="287"/>
      <c r="K449" s="287"/>
      <c r="L449" s="174"/>
      <c r="M449" s="174"/>
      <c r="N449" s="174"/>
      <c r="O449" s="174"/>
      <c r="P449" s="174"/>
      <c r="Q449" s="174"/>
      <c r="R449" s="112"/>
      <c r="S449" s="112"/>
      <c r="T449" s="112"/>
      <c r="U449" s="112"/>
      <c r="V449" s="112"/>
      <c r="W449" s="112"/>
      <c r="X449" s="112"/>
      <c r="Y449" s="112"/>
      <c r="Z449" s="112"/>
      <c r="AA449" s="71"/>
      <c r="AB449" s="47"/>
      <c r="AI449" s="207"/>
      <c r="AJ449" s="207"/>
      <c r="AK449" s="207"/>
    </row>
    <row r="450" spans="1:37" ht="13.5" customHeight="1">
      <c r="A450" s="107"/>
      <c r="B450" s="111"/>
      <c r="C450" s="113"/>
      <c r="D450" s="3" t="s">
        <v>160</v>
      </c>
      <c r="E450" s="112"/>
      <c r="F450" s="112"/>
      <c r="G450" s="287"/>
      <c r="H450" s="287"/>
      <c r="I450" s="287"/>
      <c r="J450" s="287"/>
      <c r="K450" s="287"/>
      <c r="L450" s="174"/>
      <c r="M450" s="174"/>
      <c r="N450" s="174"/>
      <c r="O450" s="174"/>
      <c r="P450" s="174"/>
      <c r="Q450" s="174"/>
      <c r="R450" s="112"/>
      <c r="S450" s="112"/>
      <c r="T450" s="112"/>
      <c r="U450" s="112"/>
      <c r="V450" s="112"/>
      <c r="W450" s="112"/>
      <c r="X450" s="112"/>
      <c r="Y450" s="112"/>
      <c r="Z450" s="112"/>
      <c r="AA450" s="71"/>
      <c r="AB450" s="47"/>
      <c r="AI450" s="207"/>
      <c r="AJ450" s="207"/>
      <c r="AK450" s="207"/>
    </row>
    <row r="451" spans="1:37" s="186" customFormat="1" ht="13.5" customHeight="1">
      <c r="A451" s="176"/>
      <c r="B451" s="177"/>
      <c r="C451" s="178" t="str">
        <f>"AD – Additional line items – "&amp;D451</f>
        <v>AD – Additional line items – CET1 capital – look-through (CHF million)</v>
      </c>
      <c r="D451" s="217" t="s">
        <v>165</v>
      </c>
      <c r="E451" s="179"/>
      <c r="F451" s="180"/>
      <c r="G451" s="281">
        <v>30943</v>
      </c>
      <c r="H451" s="281">
        <v>34467</v>
      </c>
      <c r="I451" s="281">
        <v>34860</v>
      </c>
      <c r="J451" s="281">
        <v>34824</v>
      </c>
      <c r="K451" s="281">
        <v>35020</v>
      </c>
      <c r="L451" s="141">
        <f>IF(L$427="No","–",IF(INDEX(CS_CONS_LINK_ARRAY,MATCH($C451,CS_CONS_LINK_COLUMN,0),MATCH(L$1,CS_CONS_LINK_ROW,0))="","",INDEX(CS_CONS_LINK_ARRAY,MATCH($C451,CS_CONS_LINK_COLUMN,0),MATCH(L$1,CS_CONS_LINK_ROW,0))))</f>
      </c>
      <c r="M451" s="181"/>
      <c r="N451" s="281">
        <v>34824</v>
      </c>
      <c r="O451" s="141">
        <f aca="true" t="shared" si="104" ref="O451:Q454">IF(O$427="No","–",IF(INDEX(CS_CONS_LINK_ARRAY,MATCH($C451,CS_CONS_LINK_COLUMN,0),MATCH(O$1,CS_CONS_LINK_ROW,0))="","",INDEX(CS_CONS_LINK_ARRAY,MATCH($C451,CS_CONS_LINK_COLUMN,0),MATCH(O$1,CS_CONS_LINK_ROW,0))))</f>
      </c>
      <c r="P451" s="141">
        <f t="shared" si="104"/>
      </c>
      <c r="Q451" s="141">
        <f t="shared" si="104"/>
      </c>
      <c r="R451" s="172"/>
      <c r="S451" s="221"/>
      <c r="T451" s="182"/>
      <c r="U451" s="183" t="s">
        <v>26</v>
      </c>
      <c r="V451" s="182"/>
      <c r="W451" s="37">
        <f aca="true" t="shared" si="105" ref="W451:W458">IF(L451="–",0,IF($U451="Positive Number",IF(OR(L451&lt;0,ISTEXT(L451),ISERROR(L451)),1,0),IF(OR(ISTEXT(L451),ISERROR(L451)),1,0)))</f>
        <v>1</v>
      </c>
      <c r="X451" s="57">
        <f aca="true" t="shared" si="106" ref="X451:X458">IF(O451="–",0,IF($U451="Positive Number",IF(OR(O451&lt;0,ISTEXT(O451),ISERROR(O451)),1,0),IF(OR(ISTEXT(O451),ISERROR(O451)),1,0)))</f>
        <v>1</v>
      </c>
      <c r="Y451" s="91"/>
      <c r="Z451" s="91"/>
      <c r="AA451" s="184"/>
      <c r="AB451" s="185"/>
      <c r="AI451" s="474"/>
      <c r="AJ451" s="474"/>
      <c r="AK451" s="474"/>
    </row>
    <row r="452" spans="1:37" s="186" customFormat="1" ht="13.5" customHeight="1">
      <c r="A452" s="176"/>
      <c r="B452" s="177"/>
      <c r="C452" s="178" t="str">
        <f aca="true" t="shared" si="107" ref="C452:C458">"AD – Additional line items – "&amp;D452</f>
        <v>AD – Additional line items – Tier 1 capital – look-through (CHF million)</v>
      </c>
      <c r="D452" s="217" t="s">
        <v>166</v>
      </c>
      <c r="E452" s="179"/>
      <c r="F452" s="180"/>
      <c r="G452" s="281">
        <v>43501</v>
      </c>
      <c r="H452" s="281">
        <v>46687</v>
      </c>
      <c r="I452" s="281">
        <v>47210</v>
      </c>
      <c r="J452" s="281">
        <v>47262</v>
      </c>
      <c r="K452" s="281">
        <v>47214</v>
      </c>
      <c r="L452" s="141">
        <f>IF(L$427="No","–",IF(INDEX(CS_CONS_LINK_ARRAY,MATCH($C452,CS_CONS_LINK_COLUMN,0),MATCH(L$1,CS_CONS_LINK_ROW,0))="","",INDEX(CS_CONS_LINK_ARRAY,MATCH($C452,CS_CONS_LINK_COLUMN,0),MATCH(L$1,CS_CONS_LINK_ROW,0))))</f>
      </c>
      <c r="M452" s="181"/>
      <c r="N452" s="281">
        <v>47262</v>
      </c>
      <c r="O452" s="141">
        <f t="shared" si="104"/>
      </c>
      <c r="P452" s="141">
        <f t="shared" si="104"/>
      </c>
      <c r="Q452" s="141">
        <f t="shared" si="104"/>
      </c>
      <c r="R452" s="172"/>
      <c r="S452" s="221"/>
      <c r="T452" s="182"/>
      <c r="U452" s="183" t="s">
        <v>26</v>
      </c>
      <c r="V452" s="182"/>
      <c r="W452" s="37">
        <f t="shared" si="105"/>
        <v>1</v>
      </c>
      <c r="X452" s="57">
        <f t="shared" si="106"/>
        <v>1</v>
      </c>
      <c r="Y452" s="91"/>
      <c r="Z452" s="91"/>
      <c r="AA452" s="184"/>
      <c r="AB452" s="185"/>
      <c r="AI452" s="474"/>
      <c r="AJ452" s="474"/>
      <c r="AK452" s="474"/>
    </row>
    <row r="453" spans="1:37" s="186" customFormat="1" ht="13.5" customHeight="1">
      <c r="A453" s="176"/>
      <c r="B453" s="177"/>
      <c r="C453" s="178" t="str">
        <f t="shared" si="107"/>
        <v>AD – Additional line items – Risk-weighted assets – look-through (CHF million)</v>
      </c>
      <c r="D453" s="217" t="s">
        <v>162</v>
      </c>
      <c r="E453" s="179"/>
      <c r="F453" s="180"/>
      <c r="G453" s="281">
        <v>263737</v>
      </c>
      <c r="H453" s="281">
        <v>259337</v>
      </c>
      <c r="I453" s="281">
        <v>265012</v>
      </c>
      <c r="J453" s="281">
        <v>271680</v>
      </c>
      <c r="K453" s="281">
        <v>271015</v>
      </c>
      <c r="L453" s="141">
        <f>IF(L$427="No","–",IF(INDEX(CS_CONS_LINK_ARRAY,MATCH($C453,CS_CONS_LINK_COLUMN,0),MATCH(L$1,CS_CONS_LINK_ROW,0))="","",INDEX(CS_CONS_LINK_ARRAY,MATCH($C453,CS_CONS_LINK_COLUMN,0),MATCH(L$1,CS_CONS_LINK_ROW,0))))</f>
      </c>
      <c r="M453" s="181"/>
      <c r="N453" s="281">
        <v>271680</v>
      </c>
      <c r="O453" s="141">
        <f t="shared" si="104"/>
      </c>
      <c r="P453" s="141">
        <f t="shared" si="104"/>
      </c>
      <c r="Q453" s="141">
        <f t="shared" si="104"/>
      </c>
      <c r="R453" s="172"/>
      <c r="S453" s="221"/>
      <c r="T453" s="182"/>
      <c r="U453" s="183" t="s">
        <v>26</v>
      </c>
      <c r="V453" s="182"/>
      <c r="W453" s="37">
        <f t="shared" si="105"/>
        <v>1</v>
      </c>
      <c r="X453" s="57">
        <f t="shared" si="106"/>
        <v>1</v>
      </c>
      <c r="Y453" s="91"/>
      <c r="Z453" s="91"/>
      <c r="AA453" s="184"/>
      <c r="AB453" s="185"/>
      <c r="AI453" s="474"/>
      <c r="AJ453" s="474"/>
      <c r="AK453" s="474"/>
    </row>
    <row r="454" spans="1:37" s="186" customFormat="1" ht="13.5" customHeight="1">
      <c r="A454" s="176"/>
      <c r="B454" s="177"/>
      <c r="C454" s="178" t="str">
        <f t="shared" si="107"/>
        <v>AD – Additional line items – Leverage exposure – look-through (CHF million)</v>
      </c>
      <c r="D454" s="217" t="s">
        <v>161</v>
      </c>
      <c r="E454" s="299"/>
      <c r="F454" s="180"/>
      <c r="G454" s="281">
        <v>935911</v>
      </c>
      <c r="H454" s="281">
        <v>906194</v>
      </c>
      <c r="I454" s="281">
        <v>908967</v>
      </c>
      <c r="J454" s="281">
        <v>916525</v>
      </c>
      <c r="K454" s="281">
        <v>932071</v>
      </c>
      <c r="L454" s="141">
        <f>IF(L$427="No","–",IF(INDEX(CS_CONS_LINK_ARRAY,MATCH($C454,CS_CONS_LINK_COLUMN,0),MATCH(L$1,CS_CONS_LINK_ROW,0))="","",INDEX(CS_CONS_LINK_ARRAY,MATCH($C454,CS_CONS_LINK_COLUMN,0),MATCH(L$1,CS_CONS_LINK_ROW,0))))</f>
      </c>
      <c r="M454" s="181"/>
      <c r="N454" s="281">
        <v>916525</v>
      </c>
      <c r="O454" s="141">
        <f t="shared" si="104"/>
      </c>
      <c r="P454" s="141">
        <f t="shared" si="104"/>
      </c>
      <c r="Q454" s="141">
        <f t="shared" si="104"/>
      </c>
      <c r="R454" s="172"/>
      <c r="S454" s="221"/>
      <c r="T454" s="182"/>
      <c r="U454" s="183" t="s">
        <v>26</v>
      </c>
      <c r="V454" s="182"/>
      <c r="W454" s="37">
        <f t="shared" si="105"/>
        <v>1</v>
      </c>
      <c r="X454" s="57">
        <f t="shared" si="106"/>
        <v>1</v>
      </c>
      <c r="Y454" s="91"/>
      <c r="Z454" s="91"/>
      <c r="AA454" s="184"/>
      <c r="AB454" s="185"/>
      <c r="AI454" s="474"/>
      <c r="AJ454" s="474"/>
      <c r="AK454" s="474"/>
    </row>
    <row r="455" spans="1:37" s="186" customFormat="1" ht="13.5" customHeight="1">
      <c r="A455" s="176"/>
      <c r="B455" s="177"/>
      <c r="C455" s="178" t="str">
        <f t="shared" si="107"/>
        <v>AD – Additional line items – CET1 ratio – look-through (%)</v>
      </c>
      <c r="D455" s="217" t="s">
        <v>163</v>
      </c>
      <c r="E455" s="179"/>
      <c r="F455" s="180"/>
      <c r="G455" s="150">
        <f>IF(ISERROR(G451/G453),"–",G451/G453*100)</f>
        <v>11.732521413377722</v>
      </c>
      <c r="H455" s="150">
        <f>IF(ISERROR(H451/H453),"–",H451/H453*100)</f>
        <v>13.290429055630318</v>
      </c>
      <c r="I455" s="150">
        <f>IF(ISERROR(I451/I453),"–",I451/I453*100)</f>
        <v>13.154121322808024</v>
      </c>
      <c r="J455" s="150">
        <f>IF(ISERROR(J451/J453),"–",J451/J453*100)</f>
        <v>12.818021201413426</v>
      </c>
      <c r="K455" s="150">
        <f>IF(ISERROR(K451/K453),"–",K451/K453*100)</f>
        <v>12.921793996642252</v>
      </c>
      <c r="L455" s="150" t="str">
        <f>IF(ISERROR(L451/L453),"–",L451/L453*100)</f>
        <v>–</v>
      </c>
      <c r="M455" s="181"/>
      <c r="N455" s="150">
        <f>IF(ISERROR(N451/N453),"–",N451/N453*100)</f>
        <v>12.818021201413426</v>
      </c>
      <c r="O455" s="150" t="str">
        <f>IF(ISERROR(O451/O453),"–",O451/O453*100)</f>
        <v>–</v>
      </c>
      <c r="P455" s="150" t="str">
        <f>IF(ISERROR(P451/P453),"–",P451/P453*100)</f>
        <v>–</v>
      </c>
      <c r="Q455" s="150" t="str">
        <f>IF(ISERROR(Q451/Q453),"–",Q451/Q453*100)</f>
        <v>–</v>
      </c>
      <c r="R455" s="172"/>
      <c r="S455" s="221"/>
      <c r="T455" s="182"/>
      <c r="U455" s="183" t="s">
        <v>26</v>
      </c>
      <c r="V455" s="182"/>
      <c r="W455" s="37">
        <f t="shared" si="105"/>
        <v>0</v>
      </c>
      <c r="X455" s="57">
        <f t="shared" si="106"/>
        <v>0</v>
      </c>
      <c r="Y455" s="91"/>
      <c r="Z455" s="91"/>
      <c r="AA455" s="184"/>
      <c r="AB455" s="185"/>
      <c r="AI455" s="474"/>
      <c r="AJ455" s="474"/>
      <c r="AK455" s="474"/>
    </row>
    <row r="456" spans="1:28" s="186" customFormat="1" ht="13.5" customHeight="1">
      <c r="A456" s="176"/>
      <c r="B456" s="177"/>
      <c r="C456" s="178" t="str">
        <f t="shared" si="107"/>
        <v>AD – Additional line items – Tier 1 ratio – look-through (%)</v>
      </c>
      <c r="D456" s="217" t="s">
        <v>168</v>
      </c>
      <c r="E456" s="179"/>
      <c r="F456" s="180"/>
      <c r="G456" s="150">
        <f>IF(ISERROR(G452/G453),"–",G452/G453*100)</f>
        <v>16.49408312068462</v>
      </c>
      <c r="H456" s="150">
        <f>IF(ISERROR(H452/H453),"–",H452/H453*100)</f>
        <v>18.00244469551202</v>
      </c>
      <c r="I456" s="150">
        <f>IF(ISERROR(I452/I453),"–",I452/I453*100)</f>
        <v>17.814287654898646</v>
      </c>
      <c r="J456" s="150">
        <f>IF(ISERROR(J452/J453),"–",J452/J453*100)</f>
        <v>17.396201413427562</v>
      </c>
      <c r="K456" s="150">
        <f>IF(ISERROR(K452/K453),"–",K452/K453*100)</f>
        <v>17.421175949670683</v>
      </c>
      <c r="L456" s="150" t="str">
        <f>IF(ISERROR(L452/L453),"–",L452/L453*100)</f>
        <v>–</v>
      </c>
      <c r="M456" s="181"/>
      <c r="N456" s="150">
        <f>IF(ISERROR(N452/N453),"–",N452/N453*100)</f>
        <v>17.396201413427562</v>
      </c>
      <c r="O456" s="150" t="str">
        <f>IF(ISERROR(O452/O453),"–",O452/O453*100)</f>
        <v>–</v>
      </c>
      <c r="P456" s="150" t="str">
        <f>IF(ISERROR(P452/P453),"–",P452/P453*100)</f>
        <v>–</v>
      </c>
      <c r="Q456" s="150" t="str">
        <f>IF(ISERROR(Q452/Q453),"–",Q452/Q453*100)</f>
        <v>–</v>
      </c>
      <c r="R456" s="172"/>
      <c r="S456" s="222"/>
      <c r="T456" s="182"/>
      <c r="U456" s="183" t="s">
        <v>26</v>
      </c>
      <c r="V456" s="182"/>
      <c r="W456" s="37">
        <f t="shared" si="105"/>
        <v>0</v>
      </c>
      <c r="X456" s="57">
        <f t="shared" si="106"/>
        <v>0</v>
      </c>
      <c r="Y456" s="91"/>
      <c r="Z456" s="91"/>
      <c r="AA456" s="184"/>
      <c r="AB456" s="185"/>
    </row>
    <row r="457" spans="1:28" s="186" customFormat="1" ht="13.5" customHeight="1">
      <c r="A457" s="176"/>
      <c r="B457" s="177"/>
      <c r="C457" s="178" t="str">
        <f t="shared" si="107"/>
        <v>AD – Additional line items – CET1 leverage ratio – look-through (%)</v>
      </c>
      <c r="D457" s="215" t="s">
        <v>164</v>
      </c>
      <c r="E457" s="299"/>
      <c r="F457" s="180"/>
      <c r="G457" s="279">
        <f>IF(ISERROR(G451/G454),"–",G451/G454*100)</f>
        <v>3.3061904390481573</v>
      </c>
      <c r="H457" s="279">
        <f>IF(ISERROR(H451/H454),"–",H451/H454*100)</f>
        <v>3.803490201877302</v>
      </c>
      <c r="I457" s="279">
        <f>IF(ISERROR(I451/I454),"–",I451/I454*100)</f>
        <v>3.835122727227721</v>
      </c>
      <c r="J457" s="279">
        <f>IF(ISERROR(J451/J454),"–",J451/J454*100)</f>
        <v>3.7995690243037563</v>
      </c>
      <c r="K457" s="279">
        <f>IF(ISERROR(K451/K454),"–",K451/K454*100)</f>
        <v>3.757224503283548</v>
      </c>
      <c r="L457" s="279" t="str">
        <f>IF(ISERROR(L451/L454),"–",L451/L454*100)</f>
        <v>–</v>
      </c>
      <c r="M457" s="181"/>
      <c r="N457" s="279">
        <f>IF(ISERROR(N451/N454),"–",N451/N454*100)</f>
        <v>3.7995690243037563</v>
      </c>
      <c r="O457" s="279" t="str">
        <f>IF(ISERROR(O451/O454),"–",O451/O454*100)</f>
        <v>–</v>
      </c>
      <c r="P457" s="279" t="str">
        <f>IF(ISERROR(P451/P454),"–",P451/P454*100)</f>
        <v>–</v>
      </c>
      <c r="Q457" s="279" t="str">
        <f>IF(ISERROR(Q451/Q454),"–",Q451/Q454*100)</f>
        <v>–</v>
      </c>
      <c r="R457" s="172"/>
      <c r="S457" s="221"/>
      <c r="T457" s="182"/>
      <c r="U457" s="183" t="s">
        <v>26</v>
      </c>
      <c r="V457" s="182"/>
      <c r="W457" s="37">
        <f t="shared" si="105"/>
        <v>0</v>
      </c>
      <c r="X457" s="57">
        <f t="shared" si="106"/>
        <v>0</v>
      </c>
      <c r="Y457" s="91"/>
      <c r="Z457" s="91"/>
      <c r="AA457" s="184"/>
      <c r="AB457" s="185"/>
    </row>
    <row r="458" spans="1:28" s="186" customFormat="1" ht="13.5" customHeight="1">
      <c r="A458" s="176"/>
      <c r="B458" s="177"/>
      <c r="C458" s="178" t="str">
        <f t="shared" si="107"/>
        <v>AD – Additional line items – Tier 1 leverage ratio – look-through (%)</v>
      </c>
      <c r="D458" s="215" t="s">
        <v>167</v>
      </c>
      <c r="E458" s="179"/>
      <c r="F458" s="180"/>
      <c r="G458" s="150">
        <f>IF(ISERROR(G452/G454),"–",G452/G454*100)</f>
        <v>4.647984690852015</v>
      </c>
      <c r="H458" s="150">
        <f>IF(ISERROR(H452/H454),"–",H452/H454*100)</f>
        <v>5.151987322802844</v>
      </c>
      <c r="I458" s="150">
        <f>IF(ISERROR(I452/I454),"–",I452/I454*100)</f>
        <v>5.193807916018954</v>
      </c>
      <c r="J458" s="150">
        <f>IF(ISERROR(J452/J454),"–",J452/J454*100)</f>
        <v>5.156651482501841</v>
      </c>
      <c r="K458" s="150">
        <f>IF(ISERROR(K452/K454),"–",K452/K454*100)</f>
        <v>5.065493937693588</v>
      </c>
      <c r="L458" s="150" t="str">
        <f>IF(ISERROR(L452/L454),"–",L452/L454*100)</f>
        <v>–</v>
      </c>
      <c r="M458" s="181"/>
      <c r="N458" s="150">
        <f>IF(ISERROR(N452/N454),"–",N452/N454*100)</f>
        <v>5.156651482501841</v>
      </c>
      <c r="O458" s="150" t="str">
        <f>IF(ISERROR(O452/O454),"–",O452/O454*100)</f>
        <v>–</v>
      </c>
      <c r="P458" s="150" t="str">
        <f>IF(ISERROR(P452/P454),"–",P452/P454*100)</f>
        <v>–</v>
      </c>
      <c r="Q458" s="150" t="str">
        <f>IF(ISERROR(Q452/Q454),"–",Q452/Q454*100)</f>
        <v>–</v>
      </c>
      <c r="R458" s="172"/>
      <c r="S458" s="222"/>
      <c r="T458" s="182"/>
      <c r="U458" s="183" t="s">
        <v>26</v>
      </c>
      <c r="V458" s="182"/>
      <c r="W458" s="37">
        <f t="shared" si="105"/>
        <v>0</v>
      </c>
      <c r="X458" s="57">
        <f t="shared" si="106"/>
        <v>0</v>
      </c>
      <c r="Y458" s="91"/>
      <c r="Z458" s="91"/>
      <c r="AA458" s="184"/>
      <c r="AB458" s="185"/>
    </row>
    <row r="459" spans="1:28" ht="13.5" customHeight="1">
      <c r="A459" s="107"/>
      <c r="B459" s="111"/>
      <c r="C459" s="113"/>
      <c r="D459" s="113"/>
      <c r="E459" s="112"/>
      <c r="F459" s="112"/>
      <c r="G459" s="287"/>
      <c r="H459" s="287"/>
      <c r="I459" s="287"/>
      <c r="J459" s="287"/>
      <c r="K459" s="287"/>
      <c r="L459" s="174"/>
      <c r="M459" s="174"/>
      <c r="N459" s="174"/>
      <c r="O459" s="174"/>
      <c r="P459" s="174"/>
      <c r="Q459" s="174"/>
      <c r="R459" s="112"/>
      <c r="S459" s="112"/>
      <c r="T459" s="112"/>
      <c r="U459" s="112"/>
      <c r="V459" s="112"/>
      <c r="W459" s="112"/>
      <c r="X459" s="112"/>
      <c r="Y459" s="112"/>
      <c r="Z459" s="112"/>
      <c r="AA459" s="71"/>
      <c r="AB459" s="47"/>
    </row>
    <row r="460" spans="1:28" ht="13.5" customHeight="1">
      <c r="A460" s="107"/>
      <c r="B460" s="111"/>
      <c r="C460" s="113"/>
      <c r="D460" s="3" t="s">
        <v>170</v>
      </c>
      <c r="E460" s="112"/>
      <c r="F460" s="112"/>
      <c r="G460" s="420"/>
      <c r="H460" s="420"/>
      <c r="I460" s="420"/>
      <c r="J460" s="420"/>
      <c r="K460" s="420"/>
      <c r="L460" s="421"/>
      <c r="M460" s="174"/>
      <c r="N460" s="421"/>
      <c r="O460" s="174"/>
      <c r="P460" s="174"/>
      <c r="Q460" s="174"/>
      <c r="R460" s="112"/>
      <c r="S460" s="112"/>
      <c r="T460" s="112"/>
      <c r="U460" s="112"/>
      <c r="V460" s="112"/>
      <c r="W460" s="112"/>
      <c r="X460" s="112"/>
      <c r="Y460" s="112"/>
      <c r="Z460" s="112"/>
      <c r="AA460" s="71"/>
      <c r="AB460" s="47"/>
    </row>
    <row r="461" spans="1:28" s="201" customFormat="1" ht="13.5" customHeight="1">
      <c r="A461" s="187"/>
      <c r="B461" s="188"/>
      <c r="C461" s="189" t="str">
        <f>"AD – Additional line items – "&amp;D461</f>
        <v>AD – Additional line items – Total shareholders' equity (CHF million)</v>
      </c>
      <c r="D461" s="219" t="s">
        <v>169</v>
      </c>
      <c r="E461" s="191"/>
      <c r="F461" s="192"/>
      <c r="G461" s="285">
        <v>41702</v>
      </c>
      <c r="H461" s="285">
        <v>43493</v>
      </c>
      <c r="I461" s="285">
        <v>43858</v>
      </c>
      <c r="J461" s="285">
        <v>41902</v>
      </c>
      <c r="K461" s="285">
        <v>42540</v>
      </c>
      <c r="L461" s="418">
        <f>IF(L$427="No","–",IF(INDEX(CS_CONS_LINK_ARRAY,MATCH($C461,CS_CONS_LINK_COLUMN,0),MATCH(L$1,CS_CONS_LINK_ROW,0))="","",INDEX(CS_CONS_LINK_ARRAY,MATCH($C461,CS_CONS_LINK_COLUMN,0),MATCH(L$1,CS_CONS_LINK_ROW,0))))</f>
      </c>
      <c r="M461" s="195"/>
      <c r="N461" s="285">
        <v>41902</v>
      </c>
      <c r="O461" s="141">
        <f aca="true" t="shared" si="108" ref="O461:Q464">IF(O$427="No","–",IF(INDEX(CS_CONS_LINK_ARRAY,MATCH($C461,CS_CONS_LINK_COLUMN,0),MATCH(O$1,CS_CONS_LINK_ROW,0))="","",INDEX(CS_CONS_LINK_ARRAY,MATCH($C461,CS_CONS_LINK_COLUMN,0),MATCH(O$1,CS_CONS_LINK_ROW,0))))</f>
      </c>
      <c r="P461" s="141">
        <f t="shared" si="108"/>
      </c>
      <c r="Q461" s="141">
        <f t="shared" si="108"/>
      </c>
      <c r="R461" s="197"/>
      <c r="S461" s="212"/>
      <c r="T461" s="197"/>
      <c r="U461" s="198" t="s">
        <v>25</v>
      </c>
      <c r="V461" s="197"/>
      <c r="W461" s="37">
        <f>IF(L461="–",0,IF($U461="Positive Number",IF(OR(L461&lt;0,ISTEXT(L461),ISERROR(L461)),1,0),IF(OR(ISTEXT(L461),ISERROR(L461)),1,0)))</f>
        <v>1</v>
      </c>
      <c r="X461" s="57">
        <f aca="true" t="shared" si="109" ref="X461:Z464">IF(O461="–",0,IF($U461="Positive Number",IF(OR(O461&lt;0,ISTEXT(O461),ISERROR(O461)),1,0),IF(OR(ISTEXT(O461),ISERROR(O461)),1,0)))</f>
        <v>1</v>
      </c>
      <c r="Y461" s="57">
        <f t="shared" si="109"/>
        <v>1</v>
      </c>
      <c r="Z461" s="57">
        <f t="shared" si="109"/>
        <v>1</v>
      </c>
      <c r="AA461" s="199"/>
      <c r="AB461" s="200"/>
    </row>
    <row r="462" spans="1:28" s="201" customFormat="1" ht="13.5" customHeight="1">
      <c r="A462" s="187"/>
      <c r="B462" s="188"/>
      <c r="C462" s="189" t="str">
        <f>"AD – Additional line items – "&amp;D462</f>
        <v>AD – Additional line items – Tangible shareholders' equity (CHF million)</v>
      </c>
      <c r="D462" s="219" t="s">
        <v>230</v>
      </c>
      <c r="E462" s="191"/>
      <c r="F462" s="192"/>
      <c r="G462" s="285">
        <v>36669</v>
      </c>
      <c r="H462" s="285">
        <v>38625</v>
      </c>
      <c r="I462" s="285">
        <v>38924</v>
      </c>
      <c r="J462" s="285">
        <v>36937</v>
      </c>
      <c r="K462" s="285">
        <v>37661</v>
      </c>
      <c r="L462" s="418">
        <f>IF(L$427="No","–",IF(INDEX(CS_CONS_LINK_ARRAY,MATCH($C462,CS_CONS_LINK_COLUMN,0),MATCH(L$1,CS_CONS_LINK_ROW,0))="","",INDEX(CS_CONS_LINK_ARRAY,MATCH($C462,CS_CONS_LINK_COLUMN,0),MATCH(L$1,CS_CONS_LINK_ROW,0))))</f>
      </c>
      <c r="M462" s="195"/>
      <c r="N462" s="285">
        <v>36937</v>
      </c>
      <c r="O462" s="141">
        <f t="shared" si="108"/>
      </c>
      <c r="P462" s="141">
        <f t="shared" si="108"/>
      </c>
      <c r="Q462" s="141">
        <f t="shared" si="108"/>
      </c>
      <c r="R462" s="197"/>
      <c r="S462" s="212"/>
      <c r="T462" s="197"/>
      <c r="U462" s="198"/>
      <c r="V462" s="197"/>
      <c r="W462" s="471"/>
      <c r="X462" s="57"/>
      <c r="Y462" s="57"/>
      <c r="Z462" s="57"/>
      <c r="AA462" s="199"/>
      <c r="AB462" s="200"/>
    </row>
    <row r="463" spans="1:28" s="201" customFormat="1" ht="13.5" customHeight="1">
      <c r="A463" s="187"/>
      <c r="B463" s="188"/>
      <c r="C463" s="189" t="str">
        <f>"AD – Additional line items – "&amp;D463</f>
        <v>AD – Additional line items – Shares outstanding, end of period (million)</v>
      </c>
      <c r="D463" s="190" t="s">
        <v>171</v>
      </c>
      <c r="E463" s="191"/>
      <c r="F463" s="192"/>
      <c r="G463" s="461">
        <v>2083.6</v>
      </c>
      <c r="H463" s="461">
        <v>2553.3</v>
      </c>
      <c r="I463" s="461">
        <v>2555.1</v>
      </c>
      <c r="J463" s="461">
        <v>2550.3</v>
      </c>
      <c r="K463" s="461">
        <v>2539.6</v>
      </c>
      <c r="L463" s="418">
        <f>IF(L$427="No","–",IF(INDEX(CS_CONS_LINK_ARRAY,MATCH($C463,CS_CONS_LINK_COLUMN,0),MATCH(L$1,CS_CONS_LINK_ROW,0))="","",INDEX(CS_CONS_LINK_ARRAY,MATCH($C463,CS_CONS_LINK_COLUMN,0),MATCH(L$1,CS_CONS_LINK_ROW,0))))</f>
      </c>
      <c r="M463" s="195"/>
      <c r="N463" s="461">
        <v>2550.3</v>
      </c>
      <c r="O463" s="163">
        <f t="shared" si="108"/>
      </c>
      <c r="P463" s="163">
        <f t="shared" si="108"/>
      </c>
      <c r="Q463" s="163">
        <f t="shared" si="108"/>
      </c>
      <c r="R463" s="197"/>
      <c r="S463" s="212"/>
      <c r="T463" s="197"/>
      <c r="U463" s="198" t="s">
        <v>25</v>
      </c>
      <c r="V463" s="197"/>
      <c r="W463" s="216"/>
      <c r="X463" s="57">
        <f>IF(O463="–",0,IF($U463="Positive Number",IF(OR(O463&lt;0,ISTEXT(O463),ISERROR(O463)),1,0),IF(OR(ISTEXT(O463),ISERROR(O463)),1,0)))</f>
        <v>1</v>
      </c>
      <c r="Y463" s="57">
        <f>IF(P463="–",0,IF($U463="Positive Number",IF(OR(P463&lt;0,ISTEXT(P463),ISERROR(P463)),1,0),IF(OR(ISTEXT(P463),ISERROR(P463)),1,0)))</f>
        <v>1</v>
      </c>
      <c r="Z463" s="57">
        <f>IF(Q463="–",0,IF($U463="Positive Number",IF(OR(Q463&lt;0,ISTEXT(Q463),ISERROR(Q463)),1,0),IF(OR(ISTEXT(Q463),ISERROR(Q463)),1,0)))</f>
        <v>1</v>
      </c>
      <c r="AA463" s="199"/>
      <c r="AB463" s="200"/>
    </row>
    <row r="464" spans="1:28" s="201" customFormat="1" ht="13.5" customHeight="1">
      <c r="A464" s="187"/>
      <c r="B464" s="188"/>
      <c r="C464" s="189" t="str">
        <f>"AD – Additional line items – "&amp;D464</f>
        <v>AD – Additional line items – Dividend per share</v>
      </c>
      <c r="D464" s="190" t="s">
        <v>95</v>
      </c>
      <c r="E464" s="191"/>
      <c r="F464" s="192"/>
      <c r="G464" s="172"/>
      <c r="H464" s="172"/>
      <c r="I464" s="172"/>
      <c r="J464" s="172"/>
      <c r="K464" s="172"/>
      <c r="L464" s="195"/>
      <c r="M464" s="196"/>
      <c r="N464" s="193">
        <v>0.25</v>
      </c>
      <c r="O464" s="194">
        <f t="shared" si="108"/>
      </c>
      <c r="P464" s="194">
        <f t="shared" si="108"/>
      </c>
      <c r="Q464" s="194">
        <f t="shared" si="108"/>
      </c>
      <c r="R464" s="197"/>
      <c r="S464" s="212"/>
      <c r="T464" s="197"/>
      <c r="U464" s="198" t="s">
        <v>25</v>
      </c>
      <c r="V464" s="197"/>
      <c r="W464" s="216"/>
      <c r="X464" s="57">
        <f t="shared" si="109"/>
        <v>1</v>
      </c>
      <c r="Y464" s="57">
        <f t="shared" si="109"/>
        <v>1</v>
      </c>
      <c r="Z464" s="57">
        <f t="shared" si="109"/>
        <v>1</v>
      </c>
      <c r="AA464" s="199"/>
      <c r="AB464" s="200"/>
    </row>
    <row r="465" spans="1:28" ht="13.5" customHeight="1">
      <c r="A465" s="107"/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05"/>
      <c r="AB465" s="47"/>
    </row>
    <row r="466" spans="1:28" ht="13.5" customHeight="1">
      <c r="A466" s="42"/>
      <c r="B466" s="43"/>
      <c r="C466" s="20"/>
      <c r="D466" s="20"/>
      <c r="E466" s="20"/>
      <c r="F466" s="419"/>
      <c r="G466" s="172"/>
      <c r="H466" s="172"/>
      <c r="I466" s="172"/>
      <c r="J466" s="172"/>
      <c r="K466" s="172"/>
      <c r="L466" s="172"/>
      <c r="M466" s="172"/>
      <c r="N466" s="166"/>
      <c r="O466" s="166"/>
      <c r="P466" s="166"/>
      <c r="Q466" s="166"/>
      <c r="R466" s="20"/>
      <c r="S466" s="20"/>
      <c r="T466" s="20"/>
      <c r="U466" s="20"/>
      <c r="V466" s="20"/>
      <c r="W466" s="20"/>
      <c r="X466" s="20"/>
      <c r="Y466" s="20"/>
      <c r="Z466" s="20"/>
      <c r="AA466" s="43"/>
      <c r="AB466" s="47"/>
    </row>
    <row r="467" spans="1:28" ht="27" customHeight="1">
      <c r="A467" s="1"/>
      <c r="B467" s="66"/>
      <c r="C467" s="67"/>
      <c r="D467" s="459" t="s">
        <v>127</v>
      </c>
      <c r="E467" s="68"/>
      <c r="F467" s="69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69"/>
      <c r="S467" s="69"/>
      <c r="T467" s="69"/>
      <c r="U467" s="67"/>
      <c r="V467" s="69"/>
      <c r="W467" s="69"/>
      <c r="X467" s="69"/>
      <c r="Y467" s="69"/>
      <c r="Z467" s="69"/>
      <c r="AA467" s="70"/>
      <c r="AB467" s="47"/>
    </row>
    <row r="468" spans="1:28" ht="13.5" customHeight="1">
      <c r="A468" s="1"/>
      <c r="B468" s="71"/>
      <c r="C468" s="2"/>
      <c r="D468" s="2"/>
      <c r="E468" s="2"/>
      <c r="F468" s="2"/>
      <c r="G468" s="137"/>
      <c r="H468" s="137"/>
      <c r="I468" s="137"/>
      <c r="J468" s="137"/>
      <c r="K468" s="137"/>
      <c r="L468" s="136"/>
      <c r="M468" s="136"/>
      <c r="N468" s="137"/>
      <c r="O468" s="136"/>
      <c r="P468" s="136"/>
      <c r="Q468" s="136"/>
      <c r="R468" s="2"/>
      <c r="S468" s="2"/>
      <c r="T468" s="2"/>
      <c r="U468" s="2"/>
      <c r="V468" s="2"/>
      <c r="W468" s="2"/>
      <c r="X468" s="2"/>
      <c r="Y468" s="2"/>
      <c r="Z468" s="2"/>
      <c r="AA468" s="71"/>
      <c r="AB468" s="47"/>
    </row>
    <row r="469" spans="1:28" ht="13.5" customHeight="1">
      <c r="A469" s="1"/>
      <c r="B469" s="72"/>
      <c r="C469" s="3"/>
      <c r="D469" s="3" t="s">
        <v>128</v>
      </c>
      <c r="E469" s="3"/>
      <c r="F469" s="41"/>
      <c r="G469" s="140"/>
      <c r="H469" s="140"/>
      <c r="I469" s="140"/>
      <c r="J469" s="140"/>
      <c r="K469" s="140"/>
      <c r="L469" s="138"/>
      <c r="M469" s="167"/>
      <c r="N469" s="140"/>
      <c r="O469" s="138"/>
      <c r="P469" s="138"/>
      <c r="Q469" s="138"/>
      <c r="R469" s="41"/>
      <c r="S469" s="3"/>
      <c r="T469" s="41"/>
      <c r="U469" s="3"/>
      <c r="V469" s="41"/>
      <c r="W469" s="3"/>
      <c r="X469" s="3"/>
      <c r="Y469" s="3"/>
      <c r="Z469" s="3"/>
      <c r="AA469" s="71"/>
      <c r="AB469" s="47"/>
    </row>
    <row r="470" spans="1:28" ht="13.5" customHeight="1">
      <c r="A470" s="1"/>
      <c r="B470" s="72"/>
      <c r="C470" s="4" t="str">
        <f aca="true" t="shared" si="110" ref="C470:C480">"CS – Income statement – "&amp;D470</f>
        <v>CS – Income statement – Net income/(loss) attributable to shareholders</v>
      </c>
      <c r="D470" s="75" t="s">
        <v>173</v>
      </c>
      <c r="E470" s="83"/>
      <c r="F470" s="33"/>
      <c r="G470" s="145">
        <f>IF(ISERROR(G395),"–",G395)</f>
        <v>596</v>
      </c>
      <c r="H470" s="145">
        <f>IF(ISERROR(H395),"–",H395)</f>
        <v>303</v>
      </c>
      <c r="I470" s="145">
        <f>IF(ISERROR(I395),"–",I395)</f>
        <v>244</v>
      </c>
      <c r="J470" s="145">
        <f>IF(ISERROR(J395),"–",J395)</f>
        <v>-2126</v>
      </c>
      <c r="K470" s="145">
        <f>IF(ISERROR(K395),"–",K395)</f>
        <v>694</v>
      </c>
      <c r="L470" s="145" t="str">
        <f>IF(ISERROR(L395),"–",L395)</f>
        <v>–</v>
      </c>
      <c r="M470" s="142"/>
      <c r="N470" s="145">
        <f>IF(ISERROR(N395),"–",N395)</f>
        <v>-983</v>
      </c>
      <c r="O470" s="145" t="str">
        <f>IF(ISERROR(O395),"–",O395)</f>
        <v>–</v>
      </c>
      <c r="P470" s="145" t="str">
        <f>IF(ISERROR(P395),"–",P395)</f>
        <v>–</v>
      </c>
      <c r="Q470" s="145" t="str">
        <f>IF(ISERROR(Q395),"–",Q395)</f>
        <v>–</v>
      </c>
      <c r="R470" s="33"/>
      <c r="S470" s="45"/>
      <c r="T470" s="33"/>
      <c r="U470" s="4"/>
      <c r="V470" s="33"/>
      <c r="W470" s="5"/>
      <c r="X470" s="54"/>
      <c r="Y470" s="54"/>
      <c r="Z470" s="54"/>
      <c r="AA470" s="71"/>
      <c r="AB470" s="47"/>
    </row>
    <row r="471" spans="1:28" ht="13.5" customHeight="1">
      <c r="A471" s="1"/>
      <c r="B471" s="72"/>
      <c r="C471" s="4" t="str">
        <f t="shared" si="110"/>
        <v>CS – Income statement – Available for common shares</v>
      </c>
      <c r="D471" s="227" t="s">
        <v>129</v>
      </c>
      <c r="E471" s="224"/>
      <c r="F471" s="33"/>
      <c r="G471" s="170">
        <v>596</v>
      </c>
      <c r="H471" s="170">
        <v>303</v>
      </c>
      <c r="I471" s="170">
        <v>244</v>
      </c>
      <c r="J471" s="170">
        <v>-2126</v>
      </c>
      <c r="K471" s="170">
        <f>K470</f>
        <v>694</v>
      </c>
      <c r="L471" s="214">
        <f>IF(L$27="No","–",IF(INDEX(CS_CONS_LINK_ARRAY,MATCH($C471,CS_CONS_LINK_COLUMN,0),MATCH(L$1,CS_CONS_LINK_ROW,0))="","",INDEX(CS_CONS_LINK_ARRAY,MATCH($C471,CS_CONS_LINK_COLUMN,0),MATCH(L$1,CS_CONS_LINK_ROW,0))))</f>
      </c>
      <c r="M471" s="142"/>
      <c r="N471" s="170">
        <v>-983</v>
      </c>
      <c r="O471" s="214">
        <f aca="true" t="shared" si="111" ref="O471:Q472">IF(O$27="No","–",IF(INDEX(CS_CONS_LINK_ARRAY,MATCH($C471,CS_CONS_LINK_COLUMN,0),MATCH(O$1,CS_CONS_LINK_ROW,0))="","",INDEX(CS_CONS_LINK_ARRAY,MATCH($C471,CS_CONS_LINK_COLUMN,0),MATCH(O$1,CS_CONS_LINK_ROW,0))))</f>
      </c>
      <c r="P471" s="214">
        <f t="shared" si="111"/>
      </c>
      <c r="Q471" s="214">
        <f t="shared" si="111"/>
      </c>
      <c r="R471" s="32"/>
      <c r="S471" s="225"/>
      <c r="T471" s="33"/>
      <c r="U471" s="76"/>
      <c r="V471" s="33"/>
      <c r="W471" s="226"/>
      <c r="X471" s="226"/>
      <c r="Y471" s="226"/>
      <c r="Z471" s="226"/>
      <c r="AA471" s="71"/>
      <c r="AB471" s="47"/>
    </row>
    <row r="472" spans="1:28" ht="13.5" customHeight="1">
      <c r="A472" s="1"/>
      <c r="B472" s="72"/>
      <c r="C472" s="4" t="str">
        <f t="shared" si="110"/>
        <v>CS – Income statement – Available for unvested share-based payment awards</v>
      </c>
      <c r="D472" s="227" t="s">
        <v>130</v>
      </c>
      <c r="E472" s="224"/>
      <c r="F472" s="33"/>
      <c r="G472" s="170">
        <v>0</v>
      </c>
      <c r="H472" s="170">
        <v>0</v>
      </c>
      <c r="I472" s="170">
        <v>0</v>
      </c>
      <c r="J472" s="170">
        <v>0</v>
      </c>
      <c r="K472" s="170">
        <v>0</v>
      </c>
      <c r="L472" s="214">
        <f>IF(L$27="No","–",IF(INDEX(CS_CONS_LINK_ARRAY,MATCH($C472,CS_CONS_LINK_COLUMN,0),MATCH(L$1,CS_CONS_LINK_ROW,0))="","",INDEX(CS_CONS_LINK_ARRAY,MATCH($C472,CS_CONS_LINK_COLUMN,0),MATCH(L$1,CS_CONS_LINK_ROW,0))))</f>
      </c>
      <c r="M472" s="142"/>
      <c r="N472" s="170">
        <v>0</v>
      </c>
      <c r="O472" s="214">
        <f t="shared" si="111"/>
      </c>
      <c r="P472" s="214">
        <f t="shared" si="111"/>
      </c>
      <c r="Q472" s="214">
        <f t="shared" si="111"/>
      </c>
      <c r="R472" s="32"/>
      <c r="S472" s="225"/>
      <c r="T472" s="33"/>
      <c r="U472" s="76"/>
      <c r="V472" s="33"/>
      <c r="W472" s="226"/>
      <c r="X472" s="226"/>
      <c r="Y472" s="226"/>
      <c r="Z472" s="226"/>
      <c r="AA472" s="71"/>
      <c r="AB472" s="47"/>
    </row>
    <row r="473" spans="1:28" ht="13.5" customHeight="1">
      <c r="A473" s="1"/>
      <c r="B473" s="72"/>
      <c r="C473" s="6"/>
      <c r="D473" s="7"/>
      <c r="E473" s="7"/>
      <c r="F473" s="33"/>
      <c r="G473" s="282"/>
      <c r="H473" s="282"/>
      <c r="I473" s="282"/>
      <c r="J473" s="282"/>
      <c r="K473" s="282"/>
      <c r="L473" s="149"/>
      <c r="M473" s="142"/>
      <c r="N473" s="149"/>
      <c r="O473" s="149"/>
      <c r="P473" s="149"/>
      <c r="Q473" s="149"/>
      <c r="R473" s="33"/>
      <c r="S473" s="8"/>
      <c r="T473" s="33"/>
      <c r="U473" s="6"/>
      <c r="V473" s="33"/>
      <c r="W473" s="8"/>
      <c r="X473" s="8"/>
      <c r="Y473" s="8"/>
      <c r="Z473" s="8"/>
      <c r="AA473" s="71"/>
      <c r="AB473" s="47"/>
    </row>
    <row r="474" spans="1:28" ht="13.5" customHeight="1">
      <c r="A474" s="1"/>
      <c r="B474" s="72"/>
      <c r="C474" s="4" t="str">
        <f t="shared" si="110"/>
        <v>CS – Income statement – Weighted-average shares outstanding: basic EPS available for common shares</v>
      </c>
      <c r="D474" s="288" t="s">
        <v>175</v>
      </c>
      <c r="E474" s="83"/>
      <c r="F474" s="33"/>
      <c r="G474" s="164">
        <v>2125.9</v>
      </c>
      <c r="H474" s="164">
        <v>2309.6</v>
      </c>
      <c r="I474" s="164">
        <v>2565.5</v>
      </c>
      <c r="J474" s="164">
        <v>2565.7</v>
      </c>
      <c r="K474" s="164">
        <v>2586.4</v>
      </c>
      <c r="L474" s="234">
        <f>IF(L$27="No","–",IF(INDEX(CS_CONS_LINK_ARRAY,MATCH($C474,CS_CONS_LINK_COLUMN,0),MATCH(L$1,CS_CONS_LINK_ROW,0))="","",INDEX(CS_CONS_LINK_ARRAY,MATCH($C474,CS_CONS_LINK_COLUMN,0),MATCH(L$1,CS_CONS_LINK_ROW,0))))</f>
      </c>
      <c r="M474" s="142"/>
      <c r="N474" s="164">
        <v>2413.8</v>
      </c>
      <c r="O474" s="214">
        <f aca="true" t="shared" si="112" ref="O474:Q475">IF(O$27="No","–",IF(INDEX(CS_CONS_LINK_ARRAY,MATCH($C474,CS_CONS_LINK_COLUMN,0),MATCH(O$1,CS_CONS_LINK_ROW,0))="","",INDEX(CS_CONS_LINK_ARRAY,MATCH($C474,CS_CONS_LINK_COLUMN,0),MATCH(O$1,CS_CONS_LINK_ROW,0))))</f>
      </c>
      <c r="P474" s="214">
        <f t="shared" si="112"/>
      </c>
      <c r="Q474" s="214">
        <f t="shared" si="112"/>
      </c>
      <c r="R474" s="33"/>
      <c r="S474" s="45"/>
      <c r="T474" s="33"/>
      <c r="U474" s="4"/>
      <c r="V474" s="33"/>
      <c r="W474" s="5"/>
      <c r="X474" s="54"/>
      <c r="Y474" s="54"/>
      <c r="Z474" s="54"/>
      <c r="AA474" s="71"/>
      <c r="AB474" s="47"/>
    </row>
    <row r="475" spans="1:28" ht="13.5" customHeight="1">
      <c r="A475" s="1"/>
      <c r="B475" s="72"/>
      <c r="C475" s="4" t="str">
        <f t="shared" si="110"/>
        <v>CS – Income statement – Dilutive shares from contracts, share options, warrants and share awards</v>
      </c>
      <c r="D475" s="473" t="s">
        <v>172</v>
      </c>
      <c r="E475" s="84"/>
      <c r="F475" s="33"/>
      <c r="G475" s="164">
        <f>3.8+55.1</f>
        <v>58.9</v>
      </c>
      <c r="H475" s="164">
        <f>40.3+4.2</f>
        <v>44.5</v>
      </c>
      <c r="I475" s="164">
        <f>1.8+58.8</f>
        <v>60.599999999999994</v>
      </c>
      <c r="J475" s="164">
        <v>0</v>
      </c>
      <c r="K475" s="164">
        <f>2.2+65.1</f>
        <v>67.3</v>
      </c>
      <c r="L475" s="241">
        <f>IF(L$27="No","–",IF(INDEX(CS_CONS_LINK_ARRAY,MATCH($C475,CS_CONS_LINK_COLUMN,0),MATCH(L$1,CS_CONS_LINK_ROW,0))="","",INDEX(CS_CONS_LINK_ARRAY,MATCH($C475,CS_CONS_LINK_COLUMN,0),MATCH(L$1,CS_CONS_LINK_ROW,0))))</f>
      </c>
      <c r="M475" s="142"/>
      <c r="N475" s="164">
        <v>0</v>
      </c>
      <c r="O475" s="214">
        <f t="shared" si="112"/>
      </c>
      <c r="P475" s="214">
        <f t="shared" si="112"/>
      </c>
      <c r="Q475" s="214">
        <f t="shared" si="112"/>
      </c>
      <c r="R475" s="33"/>
      <c r="S475" s="45"/>
      <c r="T475" s="33"/>
      <c r="U475" s="38" t="s">
        <v>26</v>
      </c>
      <c r="V475" s="33"/>
      <c r="W475" s="37">
        <f>IF(L475="–",0,IF($U475="Positive Number",IF(OR(L475&lt;0,ISTEXT(L475),ISERROR(L475)),1,0),IF(OR(ISTEXT(L475),ISERROR(L475)),1,0)))</f>
        <v>1</v>
      </c>
      <c r="X475" s="57">
        <f>IF(O475="–",0,IF($U475="Positive Number",IF(OR(O475&lt;0,ISTEXT(O475),ISERROR(O475)),1,0),IF(OR(ISTEXT(O475),ISERROR(O475)),1,0)))</f>
        <v>1</v>
      </c>
      <c r="Y475" s="57">
        <f>IF(P475="–",0,IF($U475="Positive Number",IF(OR(P475&lt;0,ISTEXT(P475),ISERROR(P475)),1,0),IF(OR(ISTEXT(P475),ISERROR(P475)),1,0)))</f>
        <v>1</v>
      </c>
      <c r="Z475" s="57">
        <f>IF(Q475="–",0,IF($U475="Positive Number",IF(OR(Q475&lt;0,ISTEXT(Q475),ISERROR(Q475)),1,0),IF(OR(ISTEXT(Q475),ISERROR(Q475)),1,0)))</f>
        <v>1</v>
      </c>
      <c r="AA475" s="71"/>
      <c r="AB475" s="47"/>
    </row>
    <row r="476" spans="1:28" ht="13.5" customHeight="1">
      <c r="A476" s="1"/>
      <c r="B476" s="72"/>
      <c r="C476" s="4" t="str">
        <f t="shared" si="110"/>
        <v>CS – Income statement – Weighted-average shares outstanding: diluted EPS available for common shares</v>
      </c>
      <c r="D476" s="218" t="s">
        <v>176</v>
      </c>
      <c r="E476" s="83"/>
      <c r="F476" s="33"/>
      <c r="G476" s="169">
        <f>IF(ISERROR(G474+G475),"–",G474+G475)</f>
        <v>2184.8</v>
      </c>
      <c r="H476" s="169">
        <f>IF(ISERROR(H474+H475),"–",H474+H475)</f>
        <v>2354.1</v>
      </c>
      <c r="I476" s="169">
        <f>IF(ISERROR(I474+I475),"–",I474+I475)</f>
        <v>2626.1</v>
      </c>
      <c r="J476" s="169">
        <f>IF(ISERROR(J474+J475),"–",J474+J475)</f>
        <v>2565.7</v>
      </c>
      <c r="K476" s="169">
        <f>IF(ISERROR(K474+K475),"–",K474+K475)</f>
        <v>2653.7000000000003</v>
      </c>
      <c r="L476" s="169" t="str">
        <f>IF(ISERROR(L474+L475),"–",L474+L475)</f>
        <v>–</v>
      </c>
      <c r="M476" s="142"/>
      <c r="N476" s="169">
        <f>IF(ISERROR(N474+N475),"–",N474+N475)</f>
        <v>2413.8</v>
      </c>
      <c r="O476" s="169" t="str">
        <f>IF(ISERROR(O474+O475),"–",O474+O475)</f>
        <v>–</v>
      </c>
      <c r="P476" s="169" t="str">
        <f>IF(ISERROR(P474+P475),"–",P474+P475)</f>
        <v>–</v>
      </c>
      <c r="Q476" s="169" t="str">
        <f>IF(ISERROR(Q474+Q475),"–",Q474+Q475)</f>
        <v>–</v>
      </c>
      <c r="R476" s="33"/>
      <c r="S476" s="45"/>
      <c r="T476" s="33"/>
      <c r="U476" s="4"/>
      <c r="V476" s="33"/>
      <c r="W476" s="5"/>
      <c r="X476" s="54"/>
      <c r="Y476" s="54"/>
      <c r="Z476" s="54"/>
      <c r="AA476" s="71"/>
      <c r="AB476" s="47"/>
    </row>
    <row r="477" spans="1:28" s="207" customFormat="1" ht="13.5" customHeight="1">
      <c r="A477" s="1"/>
      <c r="B477" s="72"/>
      <c r="C477" s="4" t="str">
        <f t="shared" si="110"/>
        <v>CS – Income statement – Weighted-average shares outstanding: basic/diluted EPS available for unvested share-based payment awards</v>
      </c>
      <c r="D477" s="218" t="s">
        <v>177</v>
      </c>
      <c r="E477" s="84"/>
      <c r="F477" s="33"/>
      <c r="G477" s="164">
        <v>0.1</v>
      </c>
      <c r="H477" s="164">
        <v>0.1</v>
      </c>
      <c r="I477" s="164">
        <v>0.1</v>
      </c>
      <c r="J477" s="164">
        <v>0</v>
      </c>
      <c r="K477" s="164">
        <v>0</v>
      </c>
      <c r="L477" s="241">
        <f>IF(L$27="No","–",IF(INDEX(CS_CONS_LINK_ARRAY,MATCH($C477,CS_CONS_LINK_COLUMN,0),MATCH(L$1,CS_CONS_LINK_ROW,0))="","",INDEX(CS_CONS_LINK_ARRAY,MATCH($C477,CS_CONS_LINK_COLUMN,0),MATCH(L$1,CS_CONS_LINK_ROW,0))))</f>
      </c>
      <c r="M477" s="142"/>
      <c r="N477" s="164">
        <v>0.1</v>
      </c>
      <c r="O477" s="241">
        <f>IF(O$27="No","–",IF(INDEX(CS_CONS_LINK_ARRAY,MATCH($C477,CS_CONS_LINK_COLUMN,0),MATCH(O$1,CS_CONS_LINK_ROW,0))="","",INDEX(CS_CONS_LINK_ARRAY,MATCH($C477,CS_CONS_LINK_COLUMN,0),MATCH(O$1,CS_CONS_LINK_ROW,0))))</f>
      </c>
      <c r="P477" s="241">
        <f>IF(P$27="No","–",IF(INDEX(CS_CONS_LINK_ARRAY,MATCH($C477,CS_CONS_LINK_COLUMN,0),MATCH(P$1,CS_CONS_LINK_ROW,0))="","",INDEX(CS_CONS_LINK_ARRAY,MATCH($C477,CS_CONS_LINK_COLUMN,0),MATCH(P$1,CS_CONS_LINK_ROW,0))))</f>
      </c>
      <c r="Q477" s="241">
        <f>IF(Q$27="No","–",IF(INDEX(CS_CONS_LINK_ARRAY,MATCH($C477,CS_CONS_LINK_COLUMN,0),MATCH(Q$1,CS_CONS_LINK_ROW,0))="","",INDEX(CS_CONS_LINK_ARRAY,MATCH($C477,CS_CONS_LINK_COLUMN,0),MATCH(Q$1,CS_CONS_LINK_ROW,0))))</f>
      </c>
      <c r="R477" s="33"/>
      <c r="S477" s="422"/>
      <c r="T477" s="33"/>
      <c r="U477" s="237" t="s">
        <v>26</v>
      </c>
      <c r="V477" s="33"/>
      <c r="W477" s="238">
        <f>IF(L477="–",0,IF($U477="Positive Number",IF(OR(L477&lt;0,ISTEXT(L477),ISERROR(L477)),1,0),IF(OR(ISTEXT(L477),ISERROR(L477)),1,0)))</f>
        <v>1</v>
      </c>
      <c r="X477" s="239">
        <f>IF(O477="–",0,IF($U477="Positive Number",IF(OR(O477&lt;0,ISTEXT(O477),ISERROR(O477)),1,0),IF(OR(ISTEXT(O477),ISERROR(O477)),1,0)))</f>
        <v>1</v>
      </c>
      <c r="Y477" s="239">
        <f>IF(P477="–",0,IF($U477="Positive Number",IF(OR(P477&lt;0,ISTEXT(P477),ISERROR(P477)),1,0),IF(OR(ISTEXT(P477),ISERROR(P477)),1,0)))</f>
        <v>1</v>
      </c>
      <c r="Z477" s="239">
        <f>IF(Q477="–",0,IF($U477="Positive Number",IF(OR(Q477&lt;0,ISTEXT(Q477),ISERROR(Q477)),1,0),IF(OR(ISTEXT(Q477),ISERROR(Q477)),1,0)))</f>
        <v>1</v>
      </c>
      <c r="AA477" s="71"/>
      <c r="AB477" s="47"/>
    </row>
    <row r="478" spans="1:28" ht="13.5" customHeight="1">
      <c r="A478" s="1"/>
      <c r="B478" s="72"/>
      <c r="C478" s="4" t="str">
        <f>"CS – Income statement – "&amp;D478</f>
        <v>CS – Income statement – Total weighted-average shares outstanding: diluted EPS</v>
      </c>
      <c r="D478" s="288" t="s">
        <v>180</v>
      </c>
      <c r="E478" s="83"/>
      <c r="F478" s="33"/>
      <c r="G478" s="169">
        <f>IF(ISERROR(G476+G477),"–",G476+G477)</f>
        <v>2184.9</v>
      </c>
      <c r="H478" s="169">
        <f>IF(ISERROR(H476+H477),"–",H476+H477)</f>
        <v>2354.2</v>
      </c>
      <c r="I478" s="169">
        <f>IF(ISERROR(I476+I477),"–",I476+I477)</f>
        <v>2626.2</v>
      </c>
      <c r="J478" s="169">
        <f>IF(ISERROR(J476+J477),"–",J476+J477)</f>
        <v>2565.7</v>
      </c>
      <c r="K478" s="169">
        <f>IF(ISERROR(K476+K477),"–",K476+K477)</f>
        <v>2653.7000000000003</v>
      </c>
      <c r="L478" s="169" t="str">
        <f>IF(ISERROR(L476+L477),"–",L476+L477)</f>
        <v>–</v>
      </c>
      <c r="M478" s="142"/>
      <c r="N478" s="169">
        <f>IF(ISERROR(N476+N477),"–",N476+N477)</f>
        <v>2413.9</v>
      </c>
      <c r="O478" s="169" t="str">
        <f>IF(ISERROR(O476+O477),"–",O476+O477)</f>
        <v>–</v>
      </c>
      <c r="P478" s="169" t="str">
        <f>IF(ISERROR(P476+P477),"–",P476+P477)</f>
        <v>–</v>
      </c>
      <c r="Q478" s="169" t="str">
        <f>IF(ISERROR(Q476+Q477),"–",Q476+Q477)</f>
        <v>–</v>
      </c>
      <c r="R478" s="33"/>
      <c r="S478" s="45"/>
      <c r="T478" s="33"/>
      <c r="U478" s="4"/>
      <c r="V478" s="33"/>
      <c r="W478" s="5"/>
      <c r="X478" s="5"/>
      <c r="Y478" s="5"/>
      <c r="Z478" s="54"/>
      <c r="AA478" s="71"/>
      <c r="AB478" s="47"/>
    </row>
    <row r="479" spans="1:28" ht="13.5" customHeight="1">
      <c r="A479" s="1"/>
      <c r="B479" s="72"/>
      <c r="C479" s="6"/>
      <c r="D479" s="7"/>
      <c r="E479" s="7"/>
      <c r="F479" s="33"/>
      <c r="G479" s="282"/>
      <c r="H479" s="282"/>
      <c r="I479" s="282"/>
      <c r="J479" s="282"/>
      <c r="K479" s="282"/>
      <c r="L479" s="149"/>
      <c r="M479" s="142"/>
      <c r="N479" s="149"/>
      <c r="O479" s="149"/>
      <c r="P479" s="149"/>
      <c r="Q479" s="149"/>
      <c r="R479" s="33"/>
      <c r="S479" s="8"/>
      <c r="T479" s="33"/>
      <c r="U479" s="6"/>
      <c r="V479" s="33"/>
      <c r="W479" s="8"/>
      <c r="X479" s="8"/>
      <c r="Y479" s="8"/>
      <c r="Z479" s="8"/>
      <c r="AA479" s="71"/>
      <c r="AB479" s="47"/>
    </row>
    <row r="480" spans="1:28" ht="13.5" customHeight="1">
      <c r="A480" s="1"/>
      <c r="B480" s="72"/>
      <c r="C480" s="4" t="str">
        <f t="shared" si="110"/>
        <v>CS – Income statement – Diluted earnings/(loss) per share available for common shares</v>
      </c>
      <c r="D480" s="75" t="s">
        <v>174</v>
      </c>
      <c r="E480" s="83"/>
      <c r="F480" s="33"/>
      <c r="G480" s="228">
        <v>0.26</v>
      </c>
      <c r="H480" s="228">
        <v>0.13</v>
      </c>
      <c r="I480" s="228">
        <v>0.09</v>
      </c>
      <c r="J480" s="228">
        <v>-0.83</v>
      </c>
      <c r="K480" s="228">
        <v>0.26</v>
      </c>
      <c r="L480" s="235">
        <f>IF(L$27="No","–",IF(INDEX(CS_CONS_LINK_ARRAY,MATCH($C480,CS_CONS_LINK_COLUMN,0),MATCH(L$1,CS_CONS_LINK_ROW,0))="","",INDEX(CS_CONS_LINK_ARRAY,MATCH($C480,CS_CONS_LINK_COLUMN,0),MATCH(L$1,CS_CONS_LINK_ROW,0))))</f>
      </c>
      <c r="M480" s="229"/>
      <c r="N480" s="228">
        <v>-0.41</v>
      </c>
      <c r="O480" s="235">
        <f>IF(O$27="No","–",IF(INDEX(CS_CONS_LINK_ARRAY,MATCH($C480,CS_CONS_LINK_COLUMN,0),MATCH(O$1,CS_CONS_LINK_ROW,0))="","",INDEX(CS_CONS_LINK_ARRAY,MATCH($C480,CS_CONS_LINK_COLUMN,0),MATCH(O$1,CS_CONS_LINK_ROW,0))))</f>
      </c>
      <c r="P480" s="235">
        <f>IF(P$27="No","–",IF(INDEX(CS_CONS_LINK_ARRAY,MATCH($C480,CS_CONS_LINK_COLUMN,0),MATCH(P$1,CS_CONS_LINK_ROW,0))="","",INDEX(CS_CONS_LINK_ARRAY,MATCH($C480,CS_CONS_LINK_COLUMN,0),MATCH(P$1,CS_CONS_LINK_ROW,0))))</f>
      </c>
      <c r="Q480" s="235">
        <f>IF(Q$27="No","–",IF(INDEX(CS_CONS_LINK_ARRAY,MATCH($C480,CS_CONS_LINK_COLUMN,0),MATCH(Q$1,CS_CONS_LINK_ROW,0))="","",INDEX(CS_CONS_LINK_ARRAY,MATCH($C480,CS_CONS_LINK_COLUMN,0),MATCH(Q$1,CS_CONS_LINK_ROW,0))))</f>
      </c>
      <c r="R480" s="33"/>
      <c r="S480" s="45"/>
      <c r="T480" s="40"/>
      <c r="U480" s="4"/>
      <c r="V480" s="33"/>
      <c r="W480" s="5"/>
      <c r="X480" s="5"/>
      <c r="Y480" s="5"/>
      <c r="Z480" s="54"/>
      <c r="AA480" s="71"/>
      <c r="AB480" s="47"/>
    </row>
    <row r="481" spans="1:28" ht="13.5" customHeight="1">
      <c r="A481" s="1"/>
      <c r="B481" s="73"/>
      <c r="C481" s="106"/>
      <c r="D481" s="303"/>
      <c r="E481" s="303"/>
      <c r="F481" s="303"/>
      <c r="G481" s="304"/>
      <c r="H481" s="304"/>
      <c r="I481" s="304"/>
      <c r="J481" s="304"/>
      <c r="K481" s="304"/>
      <c r="L481" s="304"/>
      <c r="M481" s="304"/>
      <c r="N481" s="304"/>
      <c r="O481" s="304"/>
      <c r="P481" s="304"/>
      <c r="Q481" s="304"/>
      <c r="R481" s="303"/>
      <c r="S481" s="303"/>
      <c r="T481" s="106"/>
      <c r="U481" s="106"/>
      <c r="V481" s="106"/>
      <c r="W481" s="106"/>
      <c r="X481" s="106"/>
      <c r="Y481" s="106"/>
      <c r="Z481" s="106"/>
      <c r="AA481" s="72"/>
      <c r="AB481" s="47"/>
    </row>
    <row r="492" spans="4:17" ht="13.5" customHeight="1" hidden="1">
      <c r="D492" s="207" t="s">
        <v>208</v>
      </c>
      <c r="G492" s="470">
        <f>G56+G57+G58+G59-G60</f>
        <v>0</v>
      </c>
      <c r="H492" s="470">
        <f>H56+H57+H58+H59-H60</f>
        <v>0</v>
      </c>
      <c r="I492" s="470">
        <f>I56+I57+I58+I59-I60</f>
        <v>0</v>
      </c>
      <c r="J492" s="470">
        <f>J56+J57+J58+J59-J60</f>
        <v>0</v>
      </c>
      <c r="K492" s="470">
        <f>K56+K57+K58+K59-K60</f>
        <v>0</v>
      </c>
      <c r="L492" s="470" t="e">
        <f>L56+L57+L58+L59-L60</f>
        <v>#VALUE!</v>
      </c>
      <c r="M492" s="470"/>
      <c r="N492" s="470">
        <f>N56+N57+N58+N59-N60</f>
        <v>0</v>
      </c>
      <c r="O492" s="470" t="e">
        <f>O56+O57+O58+O59-O60</f>
        <v>#VALUE!</v>
      </c>
      <c r="P492" s="470" t="e">
        <f>P56+P57+P58+P59-P60</f>
        <v>#VALUE!</v>
      </c>
      <c r="Q492" s="470" t="e">
        <f>Q56+Q57+Q58+Q59-Q60</f>
        <v>#VALUE!</v>
      </c>
    </row>
    <row r="493" spans="4:17" ht="13.5" customHeight="1" hidden="1">
      <c r="D493" s="44" t="s">
        <v>209</v>
      </c>
      <c r="G493" s="470">
        <f>G62+G63-G64</f>
        <v>0</v>
      </c>
      <c r="H493" s="470">
        <f>H62+H63-H64</f>
        <v>0</v>
      </c>
      <c r="I493" s="470">
        <f>I62+I63-I64</f>
        <v>0</v>
      </c>
      <c r="J493" s="470">
        <f>J62+J63-J64</f>
        <v>0</v>
      </c>
      <c r="K493" s="470">
        <f>K62+K63-K64</f>
        <v>0</v>
      </c>
      <c r="L493" s="470" t="e">
        <f>L62+L63-L64</f>
        <v>#VALUE!</v>
      </c>
      <c r="M493" s="470"/>
      <c r="N493" s="470">
        <f>N62+N63-N64</f>
        <v>0</v>
      </c>
      <c r="O493" s="470" t="e">
        <f>O62+O63-O64</f>
        <v>#VALUE!</v>
      </c>
      <c r="P493" s="470" t="e">
        <f>P62+P63-P64</f>
        <v>#VALUE!</v>
      </c>
      <c r="Q493" s="470" t="e">
        <f>Q62+Q63-Q64</f>
        <v>#VALUE!</v>
      </c>
    </row>
    <row r="494" spans="4:17" ht="13.5" customHeight="1" hidden="1">
      <c r="D494" s="44" t="s">
        <v>210</v>
      </c>
      <c r="G494" s="470">
        <f>G60-G61-G64-G65</f>
        <v>0</v>
      </c>
      <c r="H494" s="470">
        <f>H60-H61-H64-H65</f>
        <v>0</v>
      </c>
      <c r="I494" s="470">
        <f>I60-I61-I64-I65</f>
        <v>0</v>
      </c>
      <c r="J494" s="470">
        <f>J60-J61-J64-J65</f>
        <v>0</v>
      </c>
      <c r="K494" s="470">
        <f>K60-K61-K64-K65</f>
        <v>0</v>
      </c>
      <c r="L494" s="470" t="e">
        <f>L60-L61-L64-L65</f>
        <v>#VALUE!</v>
      </c>
      <c r="M494" s="470"/>
      <c r="N494" s="470">
        <f>N60-N61-N64-N65</f>
        <v>0</v>
      </c>
      <c r="O494" s="470" t="e">
        <f>O60-O61-O64-O65</f>
        <v>#VALUE!</v>
      </c>
      <c r="P494" s="470" t="e">
        <f>P60-P61-P64-P65</f>
        <v>#VALUE!</v>
      </c>
      <c r="Q494" s="470" t="e">
        <f>Q60-Q61-Q64-Q65</f>
        <v>#VALUE!</v>
      </c>
    </row>
    <row r="495" ht="13.5" customHeight="1" hidden="1"/>
    <row r="496" ht="13.5" customHeight="1" hidden="1">
      <c r="D496" s="203" t="s">
        <v>201</v>
      </c>
    </row>
    <row r="497" spans="4:17" ht="13.5" customHeight="1" hidden="1">
      <c r="D497" s="207" t="s">
        <v>208</v>
      </c>
      <c r="G497" s="470">
        <f>G90+G91+G92+G93-G94</f>
        <v>0</v>
      </c>
      <c r="H497" s="470">
        <f>H90+H91+H92+H93-H94</f>
        <v>0</v>
      </c>
      <c r="I497" s="470">
        <f>I90+I91+I92+I93-I94</f>
        <v>0</v>
      </c>
      <c r="J497" s="470">
        <f>J90+J91+J92+J93-J94</f>
        <v>0</v>
      </c>
      <c r="K497" s="470">
        <f>K90+K91+K92+K93-K94</f>
        <v>0</v>
      </c>
      <c r="L497" s="470" t="e">
        <f>L90+L91+L92+L93-L94</f>
        <v>#VALUE!</v>
      </c>
      <c r="M497" s="470"/>
      <c r="N497" s="470">
        <f>N90+N91+N92+N93-N94</f>
        <v>0</v>
      </c>
      <c r="O497" s="470" t="e">
        <f>O90+O91+O92+O93-O94</f>
        <v>#VALUE!</v>
      </c>
      <c r="P497" s="470" t="e">
        <f>P90+P91+P92+P93-P94</f>
        <v>#VALUE!</v>
      </c>
      <c r="Q497" s="470" t="e">
        <f>Q90+Q91+Q92+Q93-Q94</f>
        <v>#VALUE!</v>
      </c>
    </row>
    <row r="498" spans="4:17" ht="13.5" customHeight="1" hidden="1">
      <c r="D498" s="44" t="s">
        <v>209</v>
      </c>
      <c r="G498" s="470">
        <f>G96+G97-G98</f>
        <v>0</v>
      </c>
      <c r="H498" s="470">
        <f>H96+H97-H98</f>
        <v>0</v>
      </c>
      <c r="I498" s="470">
        <f>I96+I97-I98</f>
        <v>0</v>
      </c>
      <c r="J498" s="470">
        <f>J96+J97-J98</f>
        <v>0</v>
      </c>
      <c r="K498" s="470">
        <f>K96+K97-K98</f>
        <v>0</v>
      </c>
      <c r="L498" s="470" t="e">
        <f>L96+L97-L98</f>
        <v>#VALUE!</v>
      </c>
      <c r="M498" s="470"/>
      <c r="N498" s="470">
        <f>N96+N97-N98</f>
        <v>0</v>
      </c>
      <c r="O498" s="470" t="e">
        <f>O96+O97-O98</f>
        <v>#VALUE!</v>
      </c>
      <c r="P498" s="470" t="e">
        <f>P96+P97-P98</f>
        <v>#VALUE!</v>
      </c>
      <c r="Q498" s="470" t="e">
        <f>Q96+Q97-Q98</f>
        <v>#VALUE!</v>
      </c>
    </row>
    <row r="499" spans="4:17" ht="13.5" customHeight="1" hidden="1">
      <c r="D499" s="44" t="s">
        <v>210</v>
      </c>
      <c r="G499" s="470">
        <f>G94-G95-G98-G99</f>
        <v>0</v>
      </c>
      <c r="H499" s="470">
        <f>H94-H95-H98-H99</f>
        <v>0</v>
      </c>
      <c r="I499" s="470">
        <f>I94-I95-I98-I99</f>
        <v>0</v>
      </c>
      <c r="J499" s="470">
        <f>J94-J95-J98-J99</f>
        <v>0</v>
      </c>
      <c r="K499" s="470">
        <f>K94-K95-K98-K99</f>
        <v>0</v>
      </c>
      <c r="L499" s="470" t="e">
        <f>L94-L95-L98-L99</f>
        <v>#VALUE!</v>
      </c>
      <c r="M499" s="470"/>
      <c r="N499" s="470">
        <f>N94-N95-N98-N99</f>
        <v>0</v>
      </c>
      <c r="O499" s="470" t="e">
        <f>O94-O95-O98-O99</f>
        <v>#VALUE!</v>
      </c>
      <c r="P499" s="470" t="e">
        <f>P94-P95-P98-P99</f>
        <v>#VALUE!</v>
      </c>
      <c r="Q499" s="470" t="e">
        <f>Q94-Q95-Q98-Q99</f>
        <v>#VALUE!</v>
      </c>
    </row>
    <row r="500" ht="13.5" customHeight="1" hidden="1"/>
    <row r="501" ht="13.5" customHeight="1" hidden="1">
      <c r="D501" s="203" t="s">
        <v>202</v>
      </c>
    </row>
    <row r="502" spans="4:17" ht="13.5" customHeight="1" hidden="1">
      <c r="D502" s="44" t="s">
        <v>209</v>
      </c>
      <c r="G502" s="470">
        <f>G127+G128-G129</f>
        <v>0</v>
      </c>
      <c r="H502" s="470">
        <f>H127+H128-H129</f>
        <v>0</v>
      </c>
      <c r="I502" s="470">
        <f>I127+I128-I129</f>
        <v>0</v>
      </c>
      <c r="J502" s="470">
        <f>J127+J128-J129</f>
        <v>0</v>
      </c>
      <c r="K502" s="470">
        <f>K127+K128-K129</f>
        <v>0</v>
      </c>
      <c r="L502" s="470" t="e">
        <f>L127+L128-L129</f>
        <v>#VALUE!</v>
      </c>
      <c r="M502" s="470"/>
      <c r="N502" s="470">
        <f>N127+N128-N129</f>
        <v>0</v>
      </c>
      <c r="O502" s="470" t="e">
        <f>O127+O128-O129</f>
        <v>#VALUE!</v>
      </c>
      <c r="P502" s="470" t="e">
        <f>P127+P128-P129</f>
        <v>#VALUE!</v>
      </c>
      <c r="Q502" s="470" t="e">
        <f>Q127+Q128-Q129</f>
        <v>#VALUE!</v>
      </c>
    </row>
    <row r="503" spans="4:17" ht="13.5" customHeight="1" hidden="1">
      <c r="D503" s="44" t="s">
        <v>210</v>
      </c>
      <c r="G503" s="470">
        <f>G125-G126-G129-G130</f>
        <v>0</v>
      </c>
      <c r="H503" s="470">
        <f>H125-H126-H129-H130</f>
        <v>0</v>
      </c>
      <c r="I503" s="470">
        <f>I125-I126-I129-I130</f>
        <v>0</v>
      </c>
      <c r="J503" s="470">
        <f>J125-J126-J129-J130</f>
        <v>0</v>
      </c>
      <c r="K503" s="470">
        <f>K125-K126-K129-K130</f>
        <v>0</v>
      </c>
      <c r="L503" s="470" t="e">
        <f>L125-L126-L129-L130</f>
        <v>#VALUE!</v>
      </c>
      <c r="M503" s="470"/>
      <c r="N503" s="470">
        <f>N125-N126-N129-N130</f>
        <v>0</v>
      </c>
      <c r="O503" s="470" t="e">
        <f>O125-O126-O129-O130</f>
        <v>#VALUE!</v>
      </c>
      <c r="P503" s="470" t="e">
        <f>P125-P126-P129-P130</f>
        <v>#VALUE!</v>
      </c>
      <c r="Q503" s="470" t="e">
        <f>Q125-Q126-Q129-Q130</f>
        <v>#VALUE!</v>
      </c>
    </row>
    <row r="504" ht="13.5" customHeight="1" hidden="1"/>
    <row r="505" ht="13.5" customHeight="1" hidden="1">
      <c r="D505" s="203" t="s">
        <v>203</v>
      </c>
    </row>
    <row r="506" spans="4:17" ht="13.5" customHeight="1" hidden="1">
      <c r="D506" s="207" t="s">
        <v>208</v>
      </c>
      <c r="G506" s="470">
        <f>G145+G146+G147+G148-G149</f>
        <v>0</v>
      </c>
      <c r="H506" s="470">
        <f>H145+H146+H147+H148-H149</f>
        <v>0</v>
      </c>
      <c r="I506" s="470">
        <f>I145+I146+I147+I148-I149</f>
        <v>0</v>
      </c>
      <c r="J506" s="470">
        <f>J145+J146+J147+J148-J149</f>
        <v>0</v>
      </c>
      <c r="K506" s="470">
        <f>K145+K146+K147+K148-K149</f>
        <v>0</v>
      </c>
      <c r="L506" s="470" t="e">
        <f>L145+L146+L147+L148-L149</f>
        <v>#VALUE!</v>
      </c>
      <c r="M506" s="470"/>
      <c r="N506" s="470">
        <f>N145+N146+N147+N148-N149</f>
        <v>0</v>
      </c>
      <c r="O506" s="470" t="e">
        <f>O145+O146+O147+O148-O149</f>
        <v>#VALUE!</v>
      </c>
      <c r="P506" s="470" t="e">
        <f>P145+P146+P147+P148-P149</f>
        <v>#VALUE!</v>
      </c>
      <c r="Q506" s="470" t="e">
        <f>Q145+Q146+Q147+Q148-Q149</f>
        <v>#VALUE!</v>
      </c>
    </row>
    <row r="507" spans="4:17" ht="13.5" customHeight="1" hidden="1">
      <c r="D507" s="44" t="s">
        <v>209</v>
      </c>
      <c r="G507" s="470">
        <f>G151+G152-G153</f>
        <v>0</v>
      </c>
      <c r="H507" s="470">
        <f>H151+H152-H153</f>
        <v>0</v>
      </c>
      <c r="I507" s="470">
        <f>I151+I152-I153</f>
        <v>0</v>
      </c>
      <c r="J507" s="470">
        <f>J151+J152-J153</f>
        <v>0</v>
      </c>
      <c r="K507" s="470">
        <f>K151+K152-K153</f>
        <v>0</v>
      </c>
      <c r="L507" s="470" t="e">
        <f>L151+L152-L153</f>
        <v>#VALUE!</v>
      </c>
      <c r="M507" s="470"/>
      <c r="N507" s="470">
        <f>N151+N152-N153</f>
        <v>0</v>
      </c>
      <c r="O507" s="470" t="e">
        <f>O151+O152-O153</f>
        <v>#VALUE!</v>
      </c>
      <c r="P507" s="470" t="e">
        <f>P151+P152-P153</f>
        <v>#VALUE!</v>
      </c>
      <c r="Q507" s="470" t="e">
        <f>Q151+Q152-Q153</f>
        <v>#VALUE!</v>
      </c>
    </row>
    <row r="508" spans="4:17" ht="13.5" customHeight="1" hidden="1">
      <c r="D508" s="44" t="s">
        <v>210</v>
      </c>
      <c r="G508" s="470">
        <f>G149-G150-G153-G154</f>
        <v>0</v>
      </c>
      <c r="H508" s="470">
        <f>H149-H150-H153-H154</f>
        <v>0</v>
      </c>
      <c r="I508" s="470">
        <f>I149-I150-I153-I154</f>
        <v>0</v>
      </c>
      <c r="J508" s="470">
        <f>J149-J150-J153-J154</f>
        <v>0</v>
      </c>
      <c r="K508" s="470">
        <f>K149-K150-K153-K154</f>
        <v>0</v>
      </c>
      <c r="L508" s="470" t="e">
        <f>L149-L150-L153-L154</f>
        <v>#VALUE!</v>
      </c>
      <c r="M508" s="470"/>
      <c r="N508" s="470">
        <f>N149-N150-N153-N154</f>
        <v>0</v>
      </c>
      <c r="O508" s="470" t="e">
        <f>O149-O150-O153-O154</f>
        <v>#VALUE!</v>
      </c>
      <c r="P508" s="470" t="e">
        <f>P149-P150-P153-P154</f>
        <v>#VALUE!</v>
      </c>
      <c r="Q508" s="470" t="e">
        <f>Q149-Q150-Q153-Q154</f>
        <v>#VALUE!</v>
      </c>
    </row>
    <row r="509" ht="13.5" customHeight="1" hidden="1"/>
    <row r="510" ht="13.5" customHeight="1" hidden="1">
      <c r="D510" s="203" t="s">
        <v>204</v>
      </c>
    </row>
    <row r="511" spans="4:17" ht="13.5" customHeight="1" hidden="1">
      <c r="D511" s="207" t="s">
        <v>208</v>
      </c>
      <c r="G511" s="470">
        <f>G179+G180+G181-G182</f>
        <v>0</v>
      </c>
      <c r="H511" s="470">
        <f>H179+H180+H181-H182</f>
        <v>0</v>
      </c>
      <c r="I511" s="470">
        <f>I179+I180+I181-I182</f>
        <v>0</v>
      </c>
      <c r="J511" s="470">
        <f>J179+J180+J181-J182</f>
        <v>0</v>
      </c>
      <c r="K511" s="470">
        <f>K179+K180+K181-K182</f>
        <v>0</v>
      </c>
      <c r="L511" s="470" t="e">
        <f>L179+L180+L181-L182</f>
        <v>#VALUE!</v>
      </c>
      <c r="M511" s="470"/>
      <c r="N511" s="470">
        <f>N179+N180+N181-N182</f>
        <v>0</v>
      </c>
      <c r="O511" s="470" t="e">
        <f>O179+O180+O181-O182</f>
        <v>#VALUE!</v>
      </c>
      <c r="P511" s="470" t="e">
        <f>P179+P180+P181-P182</f>
        <v>#VALUE!</v>
      </c>
      <c r="Q511" s="470" t="e">
        <f>Q179+Q180+Q181-Q182</f>
        <v>#VALUE!</v>
      </c>
    </row>
    <row r="512" spans="4:17" ht="13.5" customHeight="1" hidden="1">
      <c r="D512" s="44" t="s">
        <v>209</v>
      </c>
      <c r="G512" s="470">
        <f>G184+G185-G186</f>
        <v>0</v>
      </c>
      <c r="H512" s="470">
        <f>H184+H185-H186</f>
        <v>0</v>
      </c>
      <c r="I512" s="470">
        <f>I184+I185-I186</f>
        <v>0</v>
      </c>
      <c r="J512" s="470">
        <f>J184+J185-J186</f>
        <v>0</v>
      </c>
      <c r="K512" s="470">
        <f>K184+K185-K186</f>
        <v>0</v>
      </c>
      <c r="L512" s="470" t="e">
        <f>L184+L185-L186</f>
        <v>#VALUE!</v>
      </c>
      <c r="M512" s="470"/>
      <c r="N512" s="470">
        <f>N184+N185-N186</f>
        <v>0</v>
      </c>
      <c r="O512" s="470" t="e">
        <f>O184+O185-O186</f>
        <v>#VALUE!</v>
      </c>
      <c r="P512" s="470" t="e">
        <f>P184+P185-P186</f>
        <v>#VALUE!</v>
      </c>
      <c r="Q512" s="470" t="e">
        <f>Q184+Q185-Q186</f>
        <v>#VALUE!</v>
      </c>
    </row>
    <row r="513" spans="4:17" ht="13.5" customHeight="1" hidden="1">
      <c r="D513" s="44" t="s">
        <v>210</v>
      </c>
      <c r="G513" s="470">
        <f>G182-G183-G186-G187</f>
        <v>0</v>
      </c>
      <c r="H513" s="470">
        <f>H182-H183-H186-H187</f>
        <v>0</v>
      </c>
      <c r="I513" s="470">
        <f>I182-I183-I186-I187</f>
        <v>0</v>
      </c>
      <c r="J513" s="470">
        <f>J182-J183-J186-J187</f>
        <v>0</v>
      </c>
      <c r="K513" s="470">
        <f>K182-K183-K186-K187</f>
        <v>0</v>
      </c>
      <c r="L513" s="470" t="e">
        <f>L182-L183-L186-L187</f>
        <v>#VALUE!</v>
      </c>
      <c r="M513" s="470"/>
      <c r="N513" s="470">
        <f>N182-N183-N186-N187</f>
        <v>0</v>
      </c>
      <c r="O513" s="470" t="e">
        <f>O182-O183-O186-O187</f>
        <v>#VALUE!</v>
      </c>
      <c r="P513" s="470" t="e">
        <f>P182-P183-P186-P187</f>
        <v>#VALUE!</v>
      </c>
      <c r="Q513" s="470" t="e">
        <f>Q182-Q183-Q186-Q187</f>
        <v>#VALUE!</v>
      </c>
    </row>
    <row r="514" ht="13.5" customHeight="1" hidden="1"/>
    <row r="515" ht="13.5" customHeight="1" hidden="1">
      <c r="D515" s="203" t="s">
        <v>205</v>
      </c>
    </row>
    <row r="516" spans="4:17" ht="13.5" customHeight="1" hidden="1">
      <c r="D516" s="44" t="s">
        <v>209</v>
      </c>
      <c r="G516" s="470">
        <f>G211+G212-G213</f>
        <v>0</v>
      </c>
      <c r="H516" s="470">
        <f>H211+H212-H213</f>
        <v>0</v>
      </c>
      <c r="I516" s="470">
        <f>I211+I212-I213</f>
        <v>0</v>
      </c>
      <c r="J516" s="470">
        <f>J211+J212-J213</f>
        <v>0</v>
      </c>
      <c r="K516" s="470">
        <f>K211+K212-K213</f>
        <v>0</v>
      </c>
      <c r="L516" s="470" t="e">
        <f>L211+L212-L213</f>
        <v>#VALUE!</v>
      </c>
      <c r="M516" s="470"/>
      <c r="N516" s="470">
        <f>N211+N212-N213</f>
        <v>0</v>
      </c>
      <c r="O516" s="470" t="e">
        <f>O211+O212-O213</f>
        <v>#VALUE!</v>
      </c>
      <c r="P516" s="470" t="e">
        <f>P211+P212-P213</f>
        <v>#VALUE!</v>
      </c>
      <c r="Q516" s="470" t="e">
        <f>Q211+Q212-Q213</f>
        <v>#VALUE!</v>
      </c>
    </row>
    <row r="517" spans="4:17" ht="13.5" customHeight="1" hidden="1">
      <c r="D517" s="44" t="s">
        <v>210</v>
      </c>
      <c r="G517" s="470">
        <f>G209-G210-G213-G214</f>
        <v>0</v>
      </c>
      <c r="H517" s="470">
        <f>H209-H210-H213-H214</f>
        <v>0</v>
      </c>
      <c r="I517" s="470">
        <f>I209-I210-I213-I214</f>
        <v>0</v>
      </c>
      <c r="J517" s="470">
        <f>J209-J210-J213-J214</f>
        <v>0</v>
      </c>
      <c r="K517" s="470">
        <f>K209-K210-K213-K214</f>
        <v>0</v>
      </c>
      <c r="L517" s="470" t="e">
        <f>L209-L210-L213-L214</f>
        <v>#VALUE!</v>
      </c>
      <c r="M517" s="470"/>
      <c r="N517" s="470">
        <f>N209-N210-N213-N214</f>
        <v>0</v>
      </c>
      <c r="O517" s="470" t="e">
        <f>O209-O210-O213-O214</f>
        <v>#VALUE!</v>
      </c>
      <c r="P517" s="470" t="e">
        <f>P209-P210-P213-P214</f>
        <v>#VALUE!</v>
      </c>
      <c r="Q517" s="470" t="e">
        <f>Q209-Q210-Q213-Q214</f>
        <v>#VALUE!</v>
      </c>
    </row>
    <row r="518" ht="13.5" customHeight="1" hidden="1"/>
    <row r="519" ht="13.5" customHeight="1" hidden="1">
      <c r="D519" s="203" t="s">
        <v>206</v>
      </c>
    </row>
    <row r="520" spans="4:17" ht="13.5" customHeight="1" hidden="1">
      <c r="D520" s="207" t="s">
        <v>208</v>
      </c>
      <c r="G520" s="470">
        <f>G229+G230+G231+G232-G235</f>
        <v>-178</v>
      </c>
      <c r="H520" s="470">
        <f>H229+H230+H231+H232-H235</f>
        <v>-154</v>
      </c>
      <c r="I520" s="470">
        <f>I229+I230+I231+I232-I235</f>
        <v>-148</v>
      </c>
      <c r="J520" s="470">
        <f>J229+J230+J231+J232-J235</f>
        <v>-235</v>
      </c>
      <c r="K520" s="470">
        <f>K229+K230+K231+K232-K235</f>
        <v>-208</v>
      </c>
      <c r="L520" s="470" t="e">
        <f>L229+L230+L231+L232-L235</f>
        <v>#VALUE!</v>
      </c>
      <c r="M520" s="470"/>
      <c r="N520" s="470">
        <f>N229+N230+N231+N232-N235</f>
        <v>-715</v>
      </c>
      <c r="O520" s="470" t="e">
        <f>O229+O230+O231+O232-O235</f>
        <v>#VALUE!</v>
      </c>
      <c r="P520" s="470" t="e">
        <f>P229+P230+P231+P232-P235</f>
        <v>#VALUE!</v>
      </c>
      <c r="Q520" s="470" t="e">
        <f>Q229+Q230+Q231+Q232-Q235</f>
        <v>#VALUE!</v>
      </c>
    </row>
    <row r="521" spans="4:17" ht="13.5" customHeight="1" hidden="1">
      <c r="D521" s="44" t="s">
        <v>209</v>
      </c>
      <c r="G521" s="470">
        <f>G151+G152-G153</f>
        <v>0</v>
      </c>
      <c r="H521" s="470">
        <f>H151+H152-H153</f>
        <v>0</v>
      </c>
      <c r="I521" s="470">
        <f>I151+I152-I153</f>
        <v>0</v>
      </c>
      <c r="J521" s="470">
        <f>J151+J152-J153</f>
        <v>0</v>
      </c>
      <c r="K521" s="470">
        <f>K151+K152-K153</f>
        <v>0</v>
      </c>
      <c r="L521" s="470" t="e">
        <f>L151+L152-L153</f>
        <v>#VALUE!</v>
      </c>
      <c r="M521" s="470"/>
      <c r="N521" s="470">
        <f>N151+N152-N153</f>
        <v>0</v>
      </c>
      <c r="O521" s="470" t="e">
        <f>O151+O152-O153</f>
        <v>#VALUE!</v>
      </c>
      <c r="P521" s="470" t="e">
        <f>P151+P152-P153</f>
        <v>#VALUE!</v>
      </c>
      <c r="Q521" s="470" t="e">
        <f>Q151+Q152-Q153</f>
        <v>#VALUE!</v>
      </c>
    </row>
    <row r="522" spans="4:17" ht="13.5" customHeight="1" hidden="1">
      <c r="D522" s="44" t="s">
        <v>210</v>
      </c>
      <c r="G522" s="470">
        <f>G235-G236-G239-G240</f>
        <v>0</v>
      </c>
      <c r="H522" s="470">
        <f>H235-H236-H239-H240</f>
        <v>0</v>
      </c>
      <c r="I522" s="470">
        <f>I235-I236-I239-I240</f>
        <v>0</v>
      </c>
      <c r="J522" s="470">
        <f>J235-J236-J239-J240</f>
        <v>0</v>
      </c>
      <c r="K522" s="470">
        <f>K235-K236-K239-K240</f>
        <v>0</v>
      </c>
      <c r="L522" s="470" t="e">
        <f>L235-L236-L239-L240</f>
        <v>#VALUE!</v>
      </c>
      <c r="M522" s="470"/>
      <c r="N522" s="470">
        <f>N235-N236-N239-N240</f>
        <v>0</v>
      </c>
      <c r="O522" s="470" t="e">
        <f>O235-O236-O239-O240</f>
        <v>#VALUE!</v>
      </c>
      <c r="P522" s="470" t="e">
        <f>P235-P236-P239-P240</f>
        <v>#VALUE!</v>
      </c>
      <c r="Q522" s="470" t="e">
        <f>Q235-Q236-Q239-Q240</f>
        <v>#VALUE!</v>
      </c>
    </row>
    <row r="523" ht="13.5" customHeight="1" hidden="1"/>
    <row r="524" ht="13.5" customHeight="1" hidden="1">
      <c r="D524" s="203" t="s">
        <v>207</v>
      </c>
    </row>
    <row r="525" spans="4:17" ht="13.5" customHeight="1" hidden="1">
      <c r="D525" s="207" t="s">
        <v>211</v>
      </c>
      <c r="G525" s="470" t="e">
        <f>G265+G266-#REF!</f>
        <v>#REF!</v>
      </c>
      <c r="H525" s="470" t="e">
        <f>H265+H266-#REF!</f>
        <v>#REF!</v>
      </c>
      <c r="I525" s="470" t="e">
        <f>I265+I266-#REF!</f>
        <v>#REF!</v>
      </c>
      <c r="J525" s="470" t="e">
        <f>J265+J266-#REF!</f>
        <v>#REF!</v>
      </c>
      <c r="K525" s="470" t="e">
        <f>K265+K266-#REF!</f>
        <v>#REF!</v>
      </c>
      <c r="L525" s="470" t="e">
        <f>L265+L266-#REF!</f>
        <v>#VALUE!</v>
      </c>
      <c r="M525" s="470"/>
      <c r="N525" s="470" t="e">
        <f>N265+N266-#REF!</f>
        <v>#REF!</v>
      </c>
      <c r="O525" s="470" t="e">
        <f>O265+O266-#REF!</f>
        <v>#VALUE!</v>
      </c>
      <c r="P525" s="470" t="e">
        <f>P265+P266-#REF!</f>
        <v>#VALUE!</v>
      </c>
      <c r="Q525" s="470" t="e">
        <f>Q265+Q266-#REF!</f>
        <v>#VALUE!</v>
      </c>
    </row>
    <row r="526" spans="4:17" ht="13.5" customHeight="1" hidden="1">
      <c r="D526" s="207" t="s">
        <v>208</v>
      </c>
      <c r="G526" s="470" t="e">
        <f>G267-#REF!-#REF!-#REF!</f>
        <v>#REF!</v>
      </c>
      <c r="H526" s="470" t="e">
        <f>H267-#REF!-#REF!-#REF!</f>
        <v>#REF!</v>
      </c>
      <c r="I526" s="470" t="e">
        <f>I267-#REF!-#REF!-#REF!</f>
        <v>#REF!</v>
      </c>
      <c r="J526" s="470" t="e">
        <f>J267-#REF!-#REF!-#REF!</f>
        <v>#REF!</v>
      </c>
      <c r="K526" s="470" t="e">
        <f>K267-#REF!-#REF!-#REF!</f>
        <v>#REF!</v>
      </c>
      <c r="L526" s="470" t="e">
        <f>L267-#REF!-#REF!-#REF!</f>
        <v>#VALUE!</v>
      </c>
      <c r="M526" s="470"/>
      <c r="N526" s="470" t="e">
        <f>N267-#REF!-#REF!-#REF!</f>
        <v>#REF!</v>
      </c>
      <c r="O526" s="470" t="e">
        <f>O267-#REF!-#REF!-#REF!</f>
        <v>#VALUE!</v>
      </c>
      <c r="P526" s="470" t="e">
        <f>P267-#REF!-#REF!-#REF!</f>
        <v>#VALUE!</v>
      </c>
      <c r="Q526" s="470" t="e">
        <f>Q267-#REF!-#REF!-#REF!</f>
        <v>#VALUE!</v>
      </c>
    </row>
    <row r="527" spans="4:17" ht="13.5" customHeight="1" hidden="1">
      <c r="D527" s="44" t="s">
        <v>209</v>
      </c>
      <c r="G527" s="470">
        <f>G269+G270-G271</f>
        <v>0</v>
      </c>
      <c r="H527" s="470">
        <f>H269+H270-H271</f>
        <v>0</v>
      </c>
      <c r="I527" s="470">
        <f>I269+I270-I271</f>
        <v>0</v>
      </c>
      <c r="J527" s="470">
        <f>J269+J270-J271</f>
        <v>0</v>
      </c>
      <c r="K527" s="470">
        <f>K269+K270-K271</f>
        <v>0</v>
      </c>
      <c r="L527" s="470" t="e">
        <f>L269+L270-L271</f>
        <v>#VALUE!</v>
      </c>
      <c r="M527" s="470"/>
      <c r="N527" s="470">
        <f>N269+N270-N271</f>
        <v>0</v>
      </c>
      <c r="O527" s="470" t="e">
        <f>O269+O270-O271</f>
        <v>#VALUE!</v>
      </c>
      <c r="P527" s="470" t="e">
        <f>P269+P270-P271</f>
        <v>#VALUE!</v>
      </c>
      <c r="Q527" s="470" t="e">
        <f>Q269+Q270-Q271</f>
        <v>#VALUE!</v>
      </c>
    </row>
    <row r="528" spans="4:17" ht="13.5" customHeight="1" hidden="1">
      <c r="D528" s="44" t="s">
        <v>210</v>
      </c>
      <c r="G528" s="470">
        <f>G267-G268-G271-G272</f>
        <v>0</v>
      </c>
      <c r="H528" s="470">
        <f>H267-H268-H271-H272</f>
        <v>0</v>
      </c>
      <c r="I528" s="470">
        <f>I267-I268-I271-I272</f>
        <v>0</v>
      </c>
      <c r="J528" s="470">
        <f>J267-J268-J271-J272</f>
        <v>0</v>
      </c>
      <c r="K528" s="470">
        <f>K267-K268-K271-K272</f>
        <v>0</v>
      </c>
      <c r="L528" s="470" t="e">
        <f>L267-L268-L271-L272</f>
        <v>#VALUE!</v>
      </c>
      <c r="M528" s="470"/>
      <c r="N528" s="470">
        <f>N267-N268-N271-N272</f>
        <v>0</v>
      </c>
      <c r="O528" s="470" t="e">
        <f>O267-O268-O271-O272</f>
        <v>#VALUE!</v>
      </c>
      <c r="P528" s="470" t="e">
        <f>P267-P268-P271-P272</f>
        <v>#VALUE!</v>
      </c>
      <c r="Q528" s="470" t="e">
        <f>Q267-Q268-Q271-Q272</f>
        <v>#VALUE!</v>
      </c>
    </row>
    <row r="529" ht="13.5" customHeight="1" hidden="1"/>
    <row r="530" ht="13.5" customHeight="1" hidden="1">
      <c r="D530" s="203" t="s">
        <v>215</v>
      </c>
    </row>
    <row r="531" spans="4:17" ht="13.5" customHeight="1" hidden="1">
      <c r="D531" s="44" t="s">
        <v>209</v>
      </c>
      <c r="G531" s="470">
        <f>G288+G289-G290</f>
        <v>0</v>
      </c>
      <c r="H531" s="470">
        <f>H288+H289-H290</f>
        <v>0</v>
      </c>
      <c r="I531" s="470">
        <f>I288+I289-I290</f>
        <v>0</v>
      </c>
      <c r="J531" s="470">
        <f>J288+J289-J290</f>
        <v>0</v>
      </c>
      <c r="K531" s="470">
        <f>K288+K289-K290</f>
        <v>0</v>
      </c>
      <c r="L531" s="470" t="e">
        <f>L288+L289-L290</f>
        <v>#VALUE!</v>
      </c>
      <c r="M531" s="470"/>
      <c r="N531" s="470">
        <f>N288+N289-N290</f>
        <v>0</v>
      </c>
      <c r="O531" s="470" t="e">
        <f>O288+O289-O290</f>
        <v>#VALUE!</v>
      </c>
      <c r="P531" s="470" t="e">
        <f>P288+P289-P290</f>
        <v>#VALUE!</v>
      </c>
      <c r="Q531" s="470" t="e">
        <f>Q288+Q289-Q290</f>
        <v>#VALUE!</v>
      </c>
    </row>
    <row r="532" spans="4:28" ht="13.5" customHeight="1" hidden="1">
      <c r="D532" s="44" t="s">
        <v>210</v>
      </c>
      <c r="G532" s="470">
        <f>G286-G287-G290-G291</f>
        <v>0</v>
      </c>
      <c r="H532" s="470">
        <f>H286-H287-H290-H291</f>
        <v>0</v>
      </c>
      <c r="I532" s="470">
        <f>I286-I287-I290-I291</f>
        <v>0</v>
      </c>
      <c r="J532" s="470">
        <f>J286-J287-J290-J291</f>
        <v>0</v>
      </c>
      <c r="K532" s="470">
        <f>K286-K287-K290-K291</f>
        <v>0</v>
      </c>
      <c r="L532" s="470" t="e">
        <f>L286-L287-L290-L291</f>
        <v>#VALUE!</v>
      </c>
      <c r="M532" s="470"/>
      <c r="N532" s="470">
        <f>N286-N287-N290-N291</f>
        <v>0</v>
      </c>
      <c r="O532" s="470" t="e">
        <f>O286-O287-O290-O291</f>
        <v>#VALUE!</v>
      </c>
      <c r="P532" s="470" t="e">
        <f>P286-P287-P290-P291</f>
        <v>#VALUE!</v>
      </c>
      <c r="Q532" s="470" t="e">
        <f>Q286-Q287-Q290-Q291</f>
        <v>#VALUE!</v>
      </c>
      <c r="AB532" s="44"/>
    </row>
    <row r="533" ht="13.5" customHeight="1" hidden="1">
      <c r="AB533" s="44"/>
    </row>
    <row r="534" ht="13.5" customHeight="1" hidden="1">
      <c r="D534" s="203" t="s">
        <v>212</v>
      </c>
    </row>
    <row r="535" spans="4:17" ht="13.5" customHeight="1" hidden="1">
      <c r="D535" s="207" t="s">
        <v>213</v>
      </c>
      <c r="G535" s="470">
        <f>G306+G307-G308</f>
        <v>0</v>
      </c>
      <c r="H535" s="470">
        <f>H306+H307-H308</f>
        <v>0</v>
      </c>
      <c r="I535" s="470">
        <f>I306+I307-I308</f>
        <v>0</v>
      </c>
      <c r="J535" s="470">
        <f>J306+J307-J308</f>
        <v>0</v>
      </c>
      <c r="K535" s="470">
        <f>K306+K307-K308</f>
        <v>0</v>
      </c>
      <c r="L535" s="470" t="e">
        <f>L306+L307-L308</f>
        <v>#VALUE!</v>
      </c>
      <c r="M535" s="470"/>
      <c r="N535" s="470">
        <f>N306+N307-N308</f>
        <v>0</v>
      </c>
      <c r="O535" s="470" t="e">
        <f>O306+O307-O308</f>
        <v>#VALUE!</v>
      </c>
      <c r="P535" s="470" t="e">
        <f>P306+P307-P308</f>
        <v>#VALUE!</v>
      </c>
      <c r="Q535" s="470" t="e">
        <f>Q306+Q307-Q308</f>
        <v>#VALUE!</v>
      </c>
    </row>
    <row r="536" spans="4:17" ht="13.5" customHeight="1" hidden="1">
      <c r="D536" s="207" t="s">
        <v>214</v>
      </c>
      <c r="G536" s="470">
        <f>G310-G308-G309</f>
        <v>0</v>
      </c>
      <c r="H536" s="470">
        <f>H310-H308-H309</f>
        <v>0</v>
      </c>
      <c r="I536" s="470">
        <f>I310-I308-I309</f>
        <v>0</v>
      </c>
      <c r="J536" s="470">
        <f>J310-J308-J309</f>
        <v>0</v>
      </c>
      <c r="K536" s="470">
        <f>K310-K308-K309</f>
        <v>0</v>
      </c>
      <c r="L536" s="470" t="e">
        <f>L310-L308-L309</f>
        <v>#VALUE!</v>
      </c>
      <c r="M536" s="470"/>
      <c r="N536" s="470">
        <f>N310-N308-N309</f>
        <v>0</v>
      </c>
      <c r="O536" s="470" t="e">
        <f>O310-O308-O309</f>
        <v>#VALUE!</v>
      </c>
      <c r="P536" s="470" t="e">
        <f>P310-P308-P309</f>
        <v>#VALUE!</v>
      </c>
      <c r="Q536" s="470" t="e">
        <f>Q310-Q308-Q309</f>
        <v>#VALUE!</v>
      </c>
    </row>
    <row r="537" spans="4:17" ht="13.5" customHeight="1" hidden="1">
      <c r="D537" s="207" t="s">
        <v>208</v>
      </c>
      <c r="G537" s="470">
        <f>G310+G311-G312</f>
        <v>0</v>
      </c>
      <c r="H537" s="470">
        <f>H310+H311-H312</f>
        <v>0</v>
      </c>
      <c r="I537" s="470">
        <f>I310+I311-I312</f>
        <v>0</v>
      </c>
      <c r="J537" s="470">
        <f>J310+J311-J312</f>
        <v>0</v>
      </c>
      <c r="K537" s="470">
        <f>K310+K311-K312</f>
        <v>0</v>
      </c>
      <c r="L537" s="470" t="e">
        <f>L310+L311-L312</f>
        <v>#VALUE!</v>
      </c>
      <c r="M537" s="470"/>
      <c r="N537" s="470">
        <f>N310+N311-N312</f>
        <v>0</v>
      </c>
      <c r="O537" s="470" t="e">
        <f>O310+O311-O312</f>
        <v>#VALUE!</v>
      </c>
      <c r="P537" s="470" t="e">
        <f>P310+P311-P312</f>
        <v>#VALUE!</v>
      </c>
      <c r="Q537" s="470" t="e">
        <f>Q310+Q311-Q312</f>
        <v>#VALUE!</v>
      </c>
    </row>
    <row r="538" spans="4:17" ht="13.5" customHeight="1" hidden="1">
      <c r="D538" s="44" t="s">
        <v>209</v>
      </c>
      <c r="G538" s="470">
        <f>G314+G315-G316</f>
        <v>0</v>
      </c>
      <c r="H538" s="470">
        <f>H314+H315-H316</f>
        <v>0</v>
      </c>
      <c r="I538" s="470">
        <f>I314+I315-I316</f>
        <v>0</v>
      </c>
      <c r="J538" s="470">
        <f>J314+J315-J316</f>
        <v>0</v>
      </c>
      <c r="K538" s="470">
        <f>K314+K315-K316</f>
        <v>0</v>
      </c>
      <c r="L538" s="470" t="e">
        <f>L314+L315-L316</f>
        <v>#VALUE!</v>
      </c>
      <c r="M538" s="470"/>
      <c r="N538" s="470">
        <f>N314+N315-N316</f>
        <v>0</v>
      </c>
      <c r="O538" s="470" t="e">
        <f>O314+O315-O316</f>
        <v>#VALUE!</v>
      </c>
      <c r="P538" s="470" t="e">
        <f>P314+P315-P316</f>
        <v>#VALUE!</v>
      </c>
      <c r="Q538" s="470" t="e">
        <f>Q314+Q315-Q316</f>
        <v>#VALUE!</v>
      </c>
    </row>
    <row r="539" spans="4:17" ht="13.5" customHeight="1" hidden="1">
      <c r="D539" s="44" t="s">
        <v>210</v>
      </c>
      <c r="G539" s="470">
        <f>G312-G313-G316-G317</f>
        <v>0</v>
      </c>
      <c r="H539" s="470">
        <f>H312-H313-H316-H317</f>
        <v>0</v>
      </c>
      <c r="I539" s="470">
        <f>I312-I313-I316-I317</f>
        <v>0</v>
      </c>
      <c r="J539" s="470">
        <f>J312-J313-J316-J317</f>
        <v>0</v>
      </c>
      <c r="K539" s="470">
        <f>K312-K313-K316-K317</f>
        <v>0</v>
      </c>
      <c r="L539" s="470" t="e">
        <f>L312-L313-L316-L317</f>
        <v>#VALUE!</v>
      </c>
      <c r="M539" s="470"/>
      <c r="N539" s="470">
        <f>N312-N313-N316-N317</f>
        <v>0</v>
      </c>
      <c r="O539" s="470" t="e">
        <f>O312-O313-O316-O317</f>
        <v>#VALUE!</v>
      </c>
      <c r="P539" s="470" t="e">
        <f>P312-P313-P316-P317</f>
        <v>#VALUE!</v>
      </c>
      <c r="Q539" s="470" t="e">
        <f>Q312-Q313-Q316-Q317</f>
        <v>#VALUE!</v>
      </c>
    </row>
    <row r="540" ht="13.5" customHeight="1" hidden="1"/>
    <row r="541" spans="4:28" ht="13.5" customHeight="1" hidden="1">
      <c r="D541" s="203" t="s">
        <v>216</v>
      </c>
      <c r="AB541" s="44"/>
    </row>
    <row r="542" spans="4:28" ht="13.5" customHeight="1" hidden="1">
      <c r="D542" s="44" t="s">
        <v>209</v>
      </c>
      <c r="G542" s="470">
        <f>G334+G335-G336</f>
        <v>0</v>
      </c>
      <c r="H542" s="470">
        <f>H334+H335-H336</f>
        <v>0</v>
      </c>
      <c r="I542" s="470">
        <f>I334+I335-I336</f>
        <v>0</v>
      </c>
      <c r="J542" s="470">
        <f>J334+J335-J336</f>
        <v>0</v>
      </c>
      <c r="K542" s="470">
        <f>K334+K335-K336</f>
        <v>0</v>
      </c>
      <c r="L542" s="470" t="e">
        <f>L334+L335-L336</f>
        <v>#VALUE!</v>
      </c>
      <c r="M542" s="470"/>
      <c r="N542" s="470">
        <f>N334+N335-N336</f>
        <v>0</v>
      </c>
      <c r="O542" s="470" t="e">
        <f>O334+O335-O336</f>
        <v>#VALUE!</v>
      </c>
      <c r="P542" s="470" t="e">
        <f>P334+P335-P336</f>
        <v>#VALUE!</v>
      </c>
      <c r="Q542" s="470" t="e">
        <f>Q334+Q335-Q336</f>
        <v>#VALUE!</v>
      </c>
      <c r="AB542" s="44"/>
    </row>
    <row r="543" spans="4:28" ht="13.5" customHeight="1" hidden="1">
      <c r="D543" s="44" t="s">
        <v>210</v>
      </c>
      <c r="G543" s="470">
        <f>G332-G333-G336-G337</f>
        <v>0</v>
      </c>
      <c r="H543" s="470">
        <f>H332-H333-H336-H337</f>
        <v>0</v>
      </c>
      <c r="I543" s="470">
        <f>I332-I333-I336-I337</f>
        <v>0</v>
      </c>
      <c r="J543" s="470">
        <f>J332-J333-J336-J337</f>
        <v>0</v>
      </c>
      <c r="K543" s="470">
        <f>K332-K333-K336-K337</f>
        <v>0</v>
      </c>
      <c r="L543" s="470" t="e">
        <f>L332-L333-L336-L337</f>
        <v>#VALUE!</v>
      </c>
      <c r="M543" s="470"/>
      <c r="N543" s="470">
        <f>N332-N333-N336-N337</f>
        <v>0</v>
      </c>
      <c r="O543" s="470" t="e">
        <f>O332-O333-O336-O337</f>
        <v>#VALUE!</v>
      </c>
      <c r="P543" s="470" t="e">
        <f>P332-P333-P336-P337</f>
        <v>#VALUE!</v>
      </c>
      <c r="Q543" s="470" t="e">
        <f>Q332-Q333-Q336-Q337</f>
        <v>#VALUE!</v>
      </c>
      <c r="AB543" s="44"/>
    </row>
    <row r="544" ht="13.5" customHeight="1" hidden="1">
      <c r="AB544" s="44"/>
    </row>
    <row r="545" spans="4:28" ht="13.5" customHeight="1" hidden="1">
      <c r="D545" s="203" t="s">
        <v>217</v>
      </c>
      <c r="AB545" s="44"/>
    </row>
    <row r="546" spans="4:28" ht="13.5" customHeight="1" hidden="1">
      <c r="D546" s="44" t="s">
        <v>209</v>
      </c>
      <c r="G546" s="470">
        <f>G349+G350-G351</f>
        <v>0</v>
      </c>
      <c r="H546" s="470">
        <f>H349+H350-H351</f>
        <v>0</v>
      </c>
      <c r="I546" s="470">
        <f>I349+I350-I351</f>
        <v>0</v>
      </c>
      <c r="J546" s="470">
        <f>J349+J350-J351</f>
        <v>0</v>
      </c>
      <c r="K546" s="470">
        <f>K349+K350-K351</f>
        <v>0</v>
      </c>
      <c r="L546" s="470" t="e">
        <f>L349+L350-L351</f>
        <v>#VALUE!</v>
      </c>
      <c r="M546" s="470"/>
      <c r="N546" s="470">
        <f>N349+N350-N351</f>
        <v>0</v>
      </c>
      <c r="O546" s="470" t="e">
        <f>O349+O350-O351</f>
        <v>#VALUE!</v>
      </c>
      <c r="P546" s="470" t="e">
        <f>P349+P350-P351</f>
        <v>#VALUE!</v>
      </c>
      <c r="Q546" s="470" t="e">
        <f>Q349+Q350-Q351</f>
        <v>#VALUE!</v>
      </c>
      <c r="AB546" s="44"/>
    </row>
    <row r="547" spans="4:28" ht="13.5" customHeight="1" hidden="1">
      <c r="D547" s="44" t="s">
        <v>210</v>
      </c>
      <c r="G547" s="470">
        <f>G347-G348-G351-G352</f>
        <v>0</v>
      </c>
      <c r="H547" s="470">
        <f>H347-H348-H351-H352</f>
        <v>0</v>
      </c>
      <c r="I547" s="470">
        <f>I347-I348-I351-I352</f>
        <v>0</v>
      </c>
      <c r="J547" s="470">
        <f>J347-J348-J351-J352</f>
        <v>0</v>
      </c>
      <c r="K547" s="470">
        <f>K347-K348-K351-K352</f>
        <v>0</v>
      </c>
      <c r="L547" s="470" t="e">
        <f>L347-L348-L351-L352</f>
        <v>#VALUE!</v>
      </c>
      <c r="M547" s="470"/>
      <c r="N547" s="470">
        <f>N347-N348-N351-N352</f>
        <v>0</v>
      </c>
      <c r="O547" s="470" t="e">
        <f>O347-O348-O351-O352</f>
        <v>#VALUE!</v>
      </c>
      <c r="P547" s="470" t="e">
        <f>P347-P348-P351-P352</f>
        <v>#VALUE!</v>
      </c>
      <c r="Q547" s="470" t="e">
        <f>Q347-Q348-Q351-Q352</f>
        <v>#VALUE!</v>
      </c>
      <c r="AB547" s="44"/>
    </row>
    <row r="548" ht="13.5" customHeight="1" hidden="1">
      <c r="AB548" s="44"/>
    </row>
    <row r="549" spans="4:28" ht="13.5" customHeight="1" hidden="1">
      <c r="D549" s="203" t="s">
        <v>218</v>
      </c>
      <c r="AB549" s="44"/>
    </row>
    <row r="550" spans="4:28" ht="13.5" customHeight="1" hidden="1">
      <c r="D550" s="207" t="s">
        <v>208</v>
      </c>
      <c r="G550" s="470">
        <f>G367+G368-G369</f>
        <v>0</v>
      </c>
      <c r="H550" s="470">
        <f>H367+H368-H369</f>
        <v>0</v>
      </c>
      <c r="I550" s="470">
        <f>I367+I368-I369</f>
        <v>0</v>
      </c>
      <c r="J550" s="470">
        <f>J367+J368-J369</f>
        <v>0</v>
      </c>
      <c r="K550" s="470">
        <f>K367+K368-K369</f>
        <v>0</v>
      </c>
      <c r="L550" s="470" t="e">
        <f aca="true" t="shared" si="113" ref="L550:Q550">L367+L368-L369</f>
        <v>#VALUE!</v>
      </c>
      <c r="M550" s="470"/>
      <c r="N550" s="470">
        <f t="shared" si="113"/>
        <v>0</v>
      </c>
      <c r="O550" s="470" t="e">
        <f t="shared" si="113"/>
        <v>#VALUE!</v>
      </c>
      <c r="P550" s="470" t="e">
        <f t="shared" si="113"/>
        <v>#VALUE!</v>
      </c>
      <c r="Q550" s="470" t="e">
        <f t="shared" si="113"/>
        <v>#VALUE!</v>
      </c>
      <c r="AB550" s="44"/>
    </row>
    <row r="551" spans="4:28" ht="13.5" customHeight="1" hidden="1">
      <c r="D551" s="44" t="s">
        <v>209</v>
      </c>
      <c r="G551" s="470">
        <f>G371+G372-G373</f>
        <v>0</v>
      </c>
      <c r="H551" s="470">
        <f>H371+H372-H373</f>
        <v>0</v>
      </c>
      <c r="I551" s="470">
        <f>I371+I372-I373</f>
        <v>0</v>
      </c>
      <c r="J551" s="470">
        <f>J371+J372-J373</f>
        <v>0</v>
      </c>
      <c r="K551" s="470">
        <f>K371+K372-K373</f>
        <v>0</v>
      </c>
      <c r="L551" s="470" t="e">
        <f aca="true" t="shared" si="114" ref="L551:Q551">L371+L372-L373</f>
        <v>#VALUE!</v>
      </c>
      <c r="M551" s="470"/>
      <c r="N551" s="470">
        <f t="shared" si="114"/>
        <v>0</v>
      </c>
      <c r="O551" s="470" t="e">
        <f t="shared" si="114"/>
        <v>#VALUE!</v>
      </c>
      <c r="P551" s="470" t="e">
        <f t="shared" si="114"/>
        <v>#VALUE!</v>
      </c>
      <c r="Q551" s="470" t="e">
        <f t="shared" si="114"/>
        <v>#VALUE!</v>
      </c>
      <c r="AB551" s="44"/>
    </row>
    <row r="552" spans="4:28" ht="13.5" customHeight="1" hidden="1">
      <c r="D552" s="44" t="s">
        <v>210</v>
      </c>
      <c r="G552" s="470">
        <f>G369-G370-G373-G374</f>
        <v>0</v>
      </c>
      <c r="H552" s="470">
        <f>H369-H370-H373-H374</f>
        <v>0</v>
      </c>
      <c r="I552" s="470">
        <f>I369-I370-I373-I374</f>
        <v>0</v>
      </c>
      <c r="J552" s="470">
        <f>J369-J370-J373-J374</f>
        <v>0</v>
      </c>
      <c r="K552" s="470">
        <f>K369-K370-K373-K374</f>
        <v>0</v>
      </c>
      <c r="L552" s="470" t="e">
        <f aca="true" t="shared" si="115" ref="L552:Q552">L369-L370-L373-L374</f>
        <v>#VALUE!</v>
      </c>
      <c r="M552" s="470"/>
      <c r="N552" s="470">
        <f t="shared" si="115"/>
        <v>0</v>
      </c>
      <c r="O552" s="470" t="e">
        <f t="shared" si="115"/>
        <v>#VALUE!</v>
      </c>
      <c r="P552" s="470" t="e">
        <f t="shared" si="115"/>
        <v>#VALUE!</v>
      </c>
      <c r="Q552" s="470" t="e">
        <f t="shared" si="115"/>
        <v>#VALUE!</v>
      </c>
      <c r="AB552" s="44"/>
    </row>
    <row r="553" ht="13.5" customHeight="1" hidden="1">
      <c r="AB553" s="44"/>
    </row>
    <row r="554" spans="4:28" ht="13.5" customHeight="1" hidden="1">
      <c r="D554" s="203" t="s">
        <v>219</v>
      </c>
      <c r="AB554" s="44"/>
    </row>
    <row r="555" spans="4:28" ht="13.5" customHeight="1" hidden="1">
      <c r="D555" s="44" t="s">
        <v>209</v>
      </c>
      <c r="G555" s="470">
        <f>G386+G387-G388</f>
        <v>0</v>
      </c>
      <c r="H555" s="470">
        <f>H386+H387-H388</f>
        <v>0</v>
      </c>
      <c r="I555" s="470">
        <f>I386+I387-I388</f>
        <v>0</v>
      </c>
      <c r="J555" s="470">
        <f>J386+J387-J388</f>
        <v>0</v>
      </c>
      <c r="K555" s="470">
        <f>K386+K387-K388</f>
        <v>0</v>
      </c>
      <c r="L555" s="470" t="e">
        <f aca="true" t="shared" si="116" ref="L555:Q555">L386+L387-L388</f>
        <v>#VALUE!</v>
      </c>
      <c r="M555" s="470"/>
      <c r="N555" s="470">
        <f t="shared" si="116"/>
        <v>0</v>
      </c>
      <c r="O555" s="470" t="e">
        <f t="shared" si="116"/>
        <v>#VALUE!</v>
      </c>
      <c r="P555" s="470" t="e">
        <f t="shared" si="116"/>
        <v>#VALUE!</v>
      </c>
      <c r="Q555" s="470" t="e">
        <f t="shared" si="116"/>
        <v>#VALUE!</v>
      </c>
      <c r="AB555" s="44"/>
    </row>
    <row r="556" spans="4:28" ht="13.5" customHeight="1" hidden="1">
      <c r="D556" s="44" t="s">
        <v>210</v>
      </c>
      <c r="G556" s="470">
        <f>G384-G385-G388-G389</f>
        <v>0</v>
      </c>
      <c r="H556" s="470">
        <f>H384-H385-H388-H389</f>
        <v>0</v>
      </c>
      <c r="I556" s="470">
        <f>I384-I385-I388-I389</f>
        <v>0</v>
      </c>
      <c r="J556" s="470">
        <f>J384-J385-J388-J389</f>
        <v>0</v>
      </c>
      <c r="K556" s="470">
        <f>K384-K385-K388-K389</f>
        <v>0</v>
      </c>
      <c r="L556" s="470" t="e">
        <f aca="true" t="shared" si="117" ref="L556:Q556">L384-L385-L388-L389</f>
        <v>#VALUE!</v>
      </c>
      <c r="M556" s="470"/>
      <c r="N556" s="470">
        <f t="shared" si="117"/>
        <v>0</v>
      </c>
      <c r="O556" s="470" t="e">
        <f t="shared" si="117"/>
        <v>#VALUE!</v>
      </c>
      <c r="P556" s="470" t="e">
        <f t="shared" si="117"/>
        <v>#VALUE!</v>
      </c>
      <c r="Q556" s="470" t="e">
        <f t="shared" si="117"/>
        <v>#VALUE!</v>
      </c>
      <c r="AB556" s="44"/>
    </row>
    <row r="557" ht="13.5" customHeight="1">
      <c r="AB557" s="44"/>
    </row>
    <row r="558" ht="13.5" customHeight="1">
      <c r="AB558" s="44"/>
    </row>
    <row r="559" ht="13.5" customHeight="1">
      <c r="AB559" s="44"/>
    </row>
    <row r="560" ht="13.5" customHeight="1">
      <c r="AB560" s="44"/>
    </row>
    <row r="561" ht="13.5" customHeight="1">
      <c r="AB561" s="44"/>
    </row>
    <row r="562" ht="13.5" customHeight="1">
      <c r="AB562" s="44"/>
    </row>
    <row r="563" ht="13.5" customHeight="1">
      <c r="AB563" s="44"/>
    </row>
    <row r="564" ht="13.5" customHeight="1">
      <c r="AB564" s="44"/>
    </row>
    <row r="565" ht="13.5" customHeight="1">
      <c r="AB565" s="44"/>
    </row>
  </sheetData>
  <sheetProtection/>
  <mergeCells count="23">
    <mergeCell ref="G8:G9"/>
    <mergeCell ref="O5:O6"/>
    <mergeCell ref="G5:G6"/>
    <mergeCell ref="L8:L9"/>
    <mergeCell ref="N8:N9"/>
    <mergeCell ref="K5:K6"/>
    <mergeCell ref="K8:K9"/>
    <mergeCell ref="U5:U6"/>
    <mergeCell ref="P5:P6"/>
    <mergeCell ref="Q5:Q6"/>
    <mergeCell ref="P8:P9"/>
    <mergeCell ref="L5:L6"/>
    <mergeCell ref="S8:S9"/>
    <mergeCell ref="H8:H9"/>
    <mergeCell ref="I5:I6"/>
    <mergeCell ref="I8:I9"/>
    <mergeCell ref="S5:S6"/>
    <mergeCell ref="Q8:Q9"/>
    <mergeCell ref="O8:O9"/>
    <mergeCell ref="N5:N6"/>
    <mergeCell ref="J8:J9"/>
    <mergeCell ref="H5:H6"/>
    <mergeCell ref="J5:J6"/>
  </mergeCells>
  <conditionalFormatting sqref="L306:L307 L309 L311 P309:Q309 L313:L315 L287:L289 L367 L471:L472 L474:L475 L477 L480 L370:L372 L282:L285 L268:L270 L75 L77 L109 L111 L150 L164 L166 L183:L185 L197 L199 L58:L59 L252 L236 L300 L326 L341 L378:L379 L96:L97 O287:Q289 O313:Q315 O367:Q367 O282:Q285 O443:Q444 O446:Q446 O268:Q270 O77:Q77 O61:Q61 O95:Q95 O111:Q111 O166:Q166 O183:Q183 O199:Q199 O250:Q250 O252:Q252 O236:Q238 O179:Q181 O56:Q59 O90:Q93 O311:Q311 O306:Q307 O145:Q148 O332:Q335 O370:Q372 O109:Q109 O150:Q152 O265:Q266 O229:Q234 L230:L232 L234 L430:L442 D431:D448">
    <cfRule type="expression" priority="1063" dxfId="0" stopIfTrue="1">
      <formula>OR(ISERROR(D56),D56="")</formula>
    </cfRule>
    <cfRule type="expression" priority="1064" dxfId="0" stopIfTrue="1">
      <formula>AND($U56="Positive Number",D56&lt;0)</formula>
    </cfRule>
  </conditionalFormatting>
  <conditionalFormatting sqref="W392:Z392 X412:Z412 X415:Z419 W394:Z394 X427:Z427 W390:Z390 W210:Z210 W125:Z126 W36:Z37 W5:W9 W26:Z27 W282:Z285 W50:Z50 W287:Z289 W430:Z430 X464:Z464 W461:Z462 X421:Z421 W455:X455 W129:Z129 W40:Z40 W232:Z234 W434:Z441">
    <cfRule type="cellIs" priority="1065" dxfId="0" operator="greaterThan" stopIfTrue="1">
      <formula>0</formula>
    </cfRule>
  </conditionalFormatting>
  <conditionalFormatting sqref="P412:Q412 P427:Q427 L427 O26:Q27 P415:Q419 L26:L27 P421:Q421 P454:Q454 L461:L462 P461:Q462">
    <cfRule type="expression" priority="1066" dxfId="0" stopIfTrue="1">
      <formula>OR(ISERROR(L26),L26="")</formula>
    </cfRule>
  </conditionalFormatting>
  <conditionalFormatting sqref="W451:X451">
    <cfRule type="cellIs" priority="1056" dxfId="0" operator="greaterThan" stopIfTrue="1">
      <formula>0</formula>
    </cfRule>
  </conditionalFormatting>
  <conditionalFormatting sqref="W453:X453">
    <cfRule type="cellIs" priority="1053" dxfId="0" operator="greaterThan" stopIfTrue="1">
      <formula>0</formula>
    </cfRule>
  </conditionalFormatting>
  <conditionalFormatting sqref="W431:Z431">
    <cfRule type="cellIs" priority="1033" dxfId="0" operator="greaterThan" stopIfTrue="1">
      <formula>0</formula>
    </cfRule>
  </conditionalFormatting>
  <conditionalFormatting sqref="Q451 Q453">
    <cfRule type="expression" priority="1040" dxfId="0" stopIfTrue="1">
      <formula>OR(ISERROR(Q451),Q451="")</formula>
    </cfRule>
  </conditionalFormatting>
  <conditionalFormatting sqref="W433:Z433">
    <cfRule type="cellIs" priority="1039" dxfId="0" operator="greaterThan" stopIfTrue="1">
      <formula>0</formula>
    </cfRule>
  </conditionalFormatting>
  <conditionalFormatting sqref="W432:Z432">
    <cfRule type="cellIs" priority="1036" dxfId="0" operator="greaterThan" stopIfTrue="1">
      <formula>0</formula>
    </cfRule>
  </conditionalFormatting>
  <conditionalFormatting sqref="L444">
    <cfRule type="expression" priority="972" dxfId="0" stopIfTrue="1">
      <formula>OR(ISERROR(L444),L444="")</formula>
    </cfRule>
    <cfRule type="expression" priority="973" dxfId="0" stopIfTrue="1">
      <formula>AND($U444="Positive Number",L444&lt;0)</formula>
    </cfRule>
  </conditionalFormatting>
  <conditionalFormatting sqref="P451 P453">
    <cfRule type="expression" priority="1019" dxfId="0" stopIfTrue="1">
      <formula>OR(ISERROR(P451),P451="")</formula>
    </cfRule>
  </conditionalFormatting>
  <conditionalFormatting sqref="L443">
    <cfRule type="expression" priority="1001" dxfId="0" stopIfTrue="1">
      <formula>OR(ISERROR(L443),L443="")</formula>
    </cfRule>
    <cfRule type="expression" priority="1002" dxfId="0" stopIfTrue="1">
      <formula>AND($U443="Positive Number",L443&lt;0)</formula>
    </cfRule>
  </conditionalFormatting>
  <conditionalFormatting sqref="W443:Z443">
    <cfRule type="cellIs" priority="1003" dxfId="0" operator="greaterThan" stopIfTrue="1">
      <formula>0</formula>
    </cfRule>
  </conditionalFormatting>
  <conditionalFormatting sqref="W442:Z442">
    <cfRule type="cellIs" priority="1000" dxfId="0" operator="greaterThan" stopIfTrue="1">
      <formula>0</formula>
    </cfRule>
  </conditionalFormatting>
  <conditionalFormatting sqref="L446">
    <cfRule type="expression" priority="986" dxfId="0" stopIfTrue="1">
      <formula>OR(ISERROR(L446),L446="")</formula>
    </cfRule>
    <cfRule type="expression" priority="987" dxfId="0" stopIfTrue="1">
      <formula>AND($U446="Positive Number",L446&lt;0)</formula>
    </cfRule>
  </conditionalFormatting>
  <conditionalFormatting sqref="P445:Q445">
    <cfRule type="expression" priority="983" dxfId="0" stopIfTrue="1">
      <formula>OR(ISERROR(P445),P445="")</formula>
    </cfRule>
    <cfRule type="expression" priority="984" dxfId="0" stopIfTrue="1">
      <formula>AND($U445="Positive Number",P445&lt;0)</formula>
    </cfRule>
  </conditionalFormatting>
  <conditionalFormatting sqref="W446:Z446">
    <cfRule type="cellIs" priority="988" dxfId="0" operator="greaterThan" stopIfTrue="1">
      <formula>0</formula>
    </cfRule>
  </conditionalFormatting>
  <conditionalFormatting sqref="L332:L335">
    <cfRule type="expression" priority="867" dxfId="0" stopIfTrue="1">
      <formula>OR(ISERROR(L332),L332="")</formula>
    </cfRule>
    <cfRule type="expression" priority="868" dxfId="0" stopIfTrue="1">
      <formula>AND($U332="Positive Number",L332&lt;0)</formula>
    </cfRule>
  </conditionalFormatting>
  <conditionalFormatting sqref="W445:Z445">
    <cfRule type="cellIs" priority="985" dxfId="0" operator="greaterThan" stopIfTrue="1">
      <formula>0</formula>
    </cfRule>
  </conditionalFormatting>
  <conditionalFormatting sqref="L445">
    <cfRule type="expression" priority="977" dxfId="0" stopIfTrue="1">
      <formula>OR(ISERROR(L445),L445="")</formula>
    </cfRule>
    <cfRule type="expression" priority="978" dxfId="0" stopIfTrue="1">
      <formula>AND($U445="Positive Number",L445&lt;0)</formula>
    </cfRule>
  </conditionalFormatting>
  <conditionalFormatting sqref="W444:Z444">
    <cfRule type="cellIs" priority="974" dxfId="0" operator="greaterThan" stopIfTrue="1">
      <formula>0</formula>
    </cfRule>
  </conditionalFormatting>
  <conditionalFormatting sqref="W477:Z477 W475:Z475">
    <cfRule type="cellIs" priority="967" dxfId="0" operator="greaterThan" stopIfTrue="1">
      <formula>0</formula>
    </cfRule>
  </conditionalFormatting>
  <conditionalFormatting sqref="P471:Q472">
    <cfRule type="expression" priority="909" dxfId="0" stopIfTrue="1">
      <formula>OR(ISERROR(P471),P471="")</formula>
    </cfRule>
  </conditionalFormatting>
  <conditionalFormatting sqref="P474:Q475">
    <cfRule type="expression" priority="908" dxfId="0" stopIfTrue="1">
      <formula>OR(ISERROR(P474),P474="")</formula>
    </cfRule>
  </conditionalFormatting>
  <conditionalFormatting sqref="P477:Q477">
    <cfRule type="expression" priority="907" dxfId="0" stopIfTrue="1">
      <formula>OR(ISERROR(P477),P477="")</formula>
    </cfRule>
  </conditionalFormatting>
  <conditionalFormatting sqref="P480:Q480">
    <cfRule type="expression" priority="906" dxfId="0" stopIfTrue="1">
      <formula>OR(ISERROR(P480),P480="")</formula>
    </cfRule>
  </conditionalFormatting>
  <conditionalFormatting sqref="W306:Z307 W309:Z309 W311:Z311 W313:Z315">
    <cfRule type="cellIs" priority="881" dxfId="0" operator="greaterThan" stopIfTrue="1">
      <formula>0</formula>
    </cfRule>
  </conditionalFormatting>
  <conditionalFormatting sqref="W332:Z335">
    <cfRule type="cellIs" priority="869" dxfId="0" operator="greaterThan" stopIfTrue="1">
      <formula>0</formula>
    </cfRule>
  </conditionalFormatting>
  <conditionalFormatting sqref="W367:Z367 W369:Z372">
    <cfRule type="cellIs" priority="866" dxfId="0" operator="greaterThan" stopIfTrue="1">
      <formula>0</formula>
    </cfRule>
  </conditionalFormatting>
  <conditionalFormatting sqref="W458:X458">
    <cfRule type="cellIs" priority="851" dxfId="0" operator="greaterThan" stopIfTrue="1">
      <formula>0</formula>
    </cfRule>
  </conditionalFormatting>
  <conditionalFormatting sqref="W457:X457">
    <cfRule type="cellIs" priority="850" dxfId="0" operator="greaterThan" stopIfTrue="1">
      <formula>0</formula>
    </cfRule>
  </conditionalFormatting>
  <conditionalFormatting sqref="W454:X454">
    <cfRule type="cellIs" priority="849" dxfId="0" operator="greaterThan" stopIfTrue="1">
      <formula>0</formula>
    </cfRule>
  </conditionalFormatting>
  <conditionalFormatting sqref="W139:Z139">
    <cfRule type="cellIs" priority="716" dxfId="0" operator="greaterThan" stopIfTrue="1">
      <formula>0</formula>
    </cfRule>
  </conditionalFormatting>
  <conditionalFormatting sqref="P184:Q185">
    <cfRule type="expression" priority="655" dxfId="0" stopIfTrue="1">
      <formula>OR(ISERROR(P184),P184="")</formula>
    </cfRule>
    <cfRule type="expression" priority="656" dxfId="0" stopIfTrue="1">
      <formula>AND($U184="Positive Number",P184&lt;0)</formula>
    </cfRule>
  </conditionalFormatting>
  <conditionalFormatting sqref="L265:L266">
    <cfRule type="expression" priority="738" dxfId="0" stopIfTrue="1">
      <formula>OR(ISERROR(L265),L265="")</formula>
    </cfRule>
    <cfRule type="expression" priority="739" dxfId="0" stopIfTrue="1">
      <formula>AND($U265="Positive Number",L265&lt;0)</formula>
    </cfRule>
  </conditionalFormatting>
  <conditionalFormatting sqref="X420:Z420">
    <cfRule type="cellIs" priority="764" dxfId="0" operator="greaterThan" stopIfTrue="1">
      <formula>0</formula>
    </cfRule>
  </conditionalFormatting>
  <conditionalFormatting sqref="P420:Q420">
    <cfRule type="expression" priority="765" dxfId="0" stopIfTrue="1">
      <formula>OR(ISERROR(P420),P420="")</formula>
    </cfRule>
  </conditionalFormatting>
  <conditionalFormatting sqref="P75:Q75">
    <cfRule type="expression" priority="758" dxfId="0" stopIfTrue="1">
      <formula>OR(ISERROR(P75),P75="")</formula>
    </cfRule>
    <cfRule type="expression" priority="759" dxfId="0" stopIfTrue="1">
      <formula>AND($U75="Positive Number",P75&lt;0)</formula>
    </cfRule>
  </conditionalFormatting>
  <conditionalFormatting sqref="W77:Z77 W60:Z61 W75:Z75 W64:Z64">
    <cfRule type="cellIs" priority="760" dxfId="0" operator="greaterThan" stopIfTrue="1">
      <formula>0</formula>
    </cfRule>
  </conditionalFormatting>
  <conditionalFormatting sqref="L95">
    <cfRule type="expression" priority="755" dxfId="0" stopIfTrue="1">
      <formula>OR(ISERROR(L95),L95="")</formula>
    </cfRule>
    <cfRule type="expression" priority="756" dxfId="0" stopIfTrue="1">
      <formula>AND($U95="Positive Number",L95&lt;0)</formula>
    </cfRule>
  </conditionalFormatting>
  <conditionalFormatting sqref="W230:Z230">
    <cfRule type="cellIs" priority="745" dxfId="0" operator="greaterThan" stopIfTrue="1">
      <formula>0</formula>
    </cfRule>
  </conditionalFormatting>
  <conditionalFormatting sqref="W111:Z111 W94:Z95 W109:Z109 W98:Z98">
    <cfRule type="cellIs" priority="757" dxfId="0" operator="greaterThan" stopIfTrue="1">
      <formula>0</formula>
    </cfRule>
  </conditionalFormatting>
  <conditionalFormatting sqref="P164:Q164">
    <cfRule type="expression" priority="752" dxfId="0" stopIfTrue="1">
      <formula>OR(ISERROR(P164),P164="")</formula>
    </cfRule>
    <cfRule type="expression" priority="753" dxfId="0" stopIfTrue="1">
      <formula>AND($U164="Positive Number",P164&lt;0)</formula>
    </cfRule>
  </conditionalFormatting>
  <conditionalFormatting sqref="W57:Z57">
    <cfRule type="cellIs" priority="599" dxfId="0" operator="greaterThan" stopIfTrue="1">
      <formula>0</formula>
    </cfRule>
  </conditionalFormatting>
  <conditionalFormatting sqref="P197:Q197">
    <cfRule type="expression" priority="749" dxfId="0" stopIfTrue="1">
      <formula>OR(ISERROR(P197),P197="")</formula>
    </cfRule>
    <cfRule type="expression" priority="750" dxfId="0" stopIfTrue="1">
      <formula>AND($U197="Positive Number",P197&lt;0)</formula>
    </cfRule>
  </conditionalFormatting>
  <conditionalFormatting sqref="W166:Z166 W149:Z150 W164:Z164 W153:Z153">
    <cfRule type="cellIs" priority="754" dxfId="0" operator="greaterThan" stopIfTrue="1">
      <formula>0</formula>
    </cfRule>
  </conditionalFormatting>
  <conditionalFormatting sqref="L56">
    <cfRule type="expression" priority="735" dxfId="0" stopIfTrue="1">
      <formula>OR(ISERROR(L56),L56="")</formula>
    </cfRule>
    <cfRule type="expression" priority="736" dxfId="0" stopIfTrue="1">
      <formula>AND($U56="Positive Number",L56&lt;0)</formula>
    </cfRule>
  </conditionalFormatting>
  <conditionalFormatting sqref="W199:Z199 W182:Z183 W197:Z197 W186:Z186">
    <cfRule type="cellIs" priority="751" dxfId="0" operator="greaterThan" stopIfTrue="1">
      <formula>0</formula>
    </cfRule>
  </conditionalFormatting>
  <conditionalFormatting sqref="L250">
    <cfRule type="expression" priority="746" dxfId="0" stopIfTrue="1">
      <formula>OR(ISERROR(L250),L250="")</formula>
    </cfRule>
    <cfRule type="expression" priority="747" dxfId="0" stopIfTrue="1">
      <formula>AND($U250="Positive Number",L250&lt;0)</formula>
    </cfRule>
  </conditionalFormatting>
  <conditionalFormatting sqref="W236:Z236 W252:Z252 W250:Z250 W231:Z231">
    <cfRule type="cellIs" priority="748" dxfId="0" operator="greaterThan" stopIfTrue="1">
      <formula>0</formula>
    </cfRule>
  </conditionalFormatting>
  <conditionalFormatting sqref="W58:Z59">
    <cfRule type="cellIs" priority="737" dxfId="0" operator="greaterThan" stopIfTrue="1">
      <formula>0</formula>
    </cfRule>
  </conditionalFormatting>
  <conditionalFormatting sqref="W56:Z56">
    <cfRule type="cellIs" priority="734" dxfId="0" operator="greaterThan" stopIfTrue="1">
      <formula>0</formula>
    </cfRule>
  </conditionalFormatting>
  <conditionalFormatting sqref="W265:Z266 W268:Z270">
    <cfRule type="cellIs" priority="740" dxfId="0" operator="greaterThan" stopIfTrue="1">
      <formula>0</formula>
    </cfRule>
  </conditionalFormatting>
  <conditionalFormatting sqref="L237:L238">
    <cfRule type="expression" priority="658" dxfId="0" stopIfTrue="1">
      <formula>OR(ISERROR(L237),L237="")</formula>
    </cfRule>
    <cfRule type="expression" priority="659" dxfId="0" stopIfTrue="1">
      <formula>AND($U237="Positive Number",L237&lt;0)</formula>
    </cfRule>
  </conditionalFormatting>
  <conditionalFormatting sqref="W146:Z146">
    <cfRule type="cellIs" priority="726" dxfId="0" operator="greaterThan" stopIfTrue="1">
      <formula>0</formula>
    </cfRule>
  </conditionalFormatting>
  <conditionalFormatting sqref="W91:Z91">
    <cfRule type="cellIs" priority="730" dxfId="0" operator="greaterThan" stopIfTrue="1">
      <formula>0</formula>
    </cfRule>
  </conditionalFormatting>
  <conditionalFormatting sqref="P379:Q379">
    <cfRule type="expression" priority="624" dxfId="0" stopIfTrue="1">
      <formula>OR(ISERROR(P379),P379="")</formula>
    </cfRule>
    <cfRule type="expression" priority="625" dxfId="0" stopIfTrue="1">
      <formula>AND($U379="Positive Number",P379&lt;0)</formula>
    </cfRule>
  </conditionalFormatting>
  <conditionalFormatting sqref="W92:Z93">
    <cfRule type="cellIs" priority="733" dxfId="0" operator="greaterThan" stopIfTrue="1">
      <formula>0</formula>
    </cfRule>
  </conditionalFormatting>
  <conditionalFormatting sqref="W147:Z148">
    <cfRule type="cellIs" priority="729" dxfId="0" operator="greaterThan" stopIfTrue="1">
      <formula>0</formula>
    </cfRule>
  </conditionalFormatting>
  <conditionalFormatting sqref="L91:L93">
    <cfRule type="expression" priority="731" dxfId="0" stopIfTrue="1">
      <formula>OR(ISERROR(L91),L91="")</formula>
    </cfRule>
    <cfRule type="expression" priority="732" dxfId="0" stopIfTrue="1">
      <formula>AND($U91="Positive Number",L91&lt;0)</formula>
    </cfRule>
  </conditionalFormatting>
  <conditionalFormatting sqref="W179:Z179">
    <cfRule type="cellIs" priority="722" dxfId="0" operator="greaterThan" stopIfTrue="1">
      <formula>0</formula>
    </cfRule>
  </conditionalFormatting>
  <conditionalFormatting sqref="W180:Z181">
    <cfRule type="cellIs" priority="725" dxfId="0" operator="greaterThan" stopIfTrue="1">
      <formula>0</formula>
    </cfRule>
  </conditionalFormatting>
  <conditionalFormatting sqref="L146:L148">
    <cfRule type="expression" priority="727" dxfId="0" stopIfTrue="1">
      <formula>OR(ISERROR(L146),L146="")</formula>
    </cfRule>
    <cfRule type="expression" priority="728" dxfId="0" stopIfTrue="1">
      <formula>AND($U146="Positive Number",L146&lt;0)</formula>
    </cfRule>
  </conditionalFormatting>
  <conditionalFormatting sqref="L179:L181">
    <cfRule type="expression" priority="723" dxfId="0" stopIfTrue="1">
      <formula>OR(ISERROR(L179),L179="")</formula>
    </cfRule>
    <cfRule type="expression" priority="724" dxfId="0" stopIfTrue="1">
      <formula>AND($U179="Positive Number",L179&lt;0)</formula>
    </cfRule>
  </conditionalFormatting>
  <conditionalFormatting sqref="P300:Q300">
    <cfRule type="expression" priority="708" dxfId="0" stopIfTrue="1">
      <formula>OR(ISERROR(P300),P300="")</formula>
    </cfRule>
    <cfRule type="expression" priority="709" dxfId="0" stopIfTrue="1">
      <formula>AND($U300="Positive Number",P300&lt;0)</formula>
    </cfRule>
  </conditionalFormatting>
  <conditionalFormatting sqref="W223:Z223">
    <cfRule type="cellIs" priority="713" dxfId="0" operator="greaterThan" stopIfTrue="1">
      <formula>0</formula>
    </cfRule>
  </conditionalFormatting>
  <conditionalFormatting sqref="P326:Q326">
    <cfRule type="expression" priority="705" dxfId="0" stopIfTrue="1">
      <formula>OR(ISERROR(P326),P326="")</formula>
    </cfRule>
    <cfRule type="expression" priority="706" dxfId="0" stopIfTrue="1">
      <formula>AND($U326="Positive Number",P326&lt;0)</formula>
    </cfRule>
  </conditionalFormatting>
  <conditionalFormatting sqref="W300:Z300">
    <cfRule type="cellIs" priority="710" dxfId="0" operator="greaterThan" stopIfTrue="1">
      <formula>0</formula>
    </cfRule>
  </conditionalFormatting>
  <conditionalFormatting sqref="P341:Q341">
    <cfRule type="expression" priority="702" dxfId="0" stopIfTrue="1">
      <formula>OR(ISERROR(P341),P341="")</formula>
    </cfRule>
    <cfRule type="expression" priority="703" dxfId="0" stopIfTrue="1">
      <formula>AND($U341="Positive Number",P341&lt;0)</formula>
    </cfRule>
  </conditionalFormatting>
  <conditionalFormatting sqref="W326:Z326">
    <cfRule type="cellIs" priority="707" dxfId="0" operator="greaterThan" stopIfTrue="1">
      <formula>0</formula>
    </cfRule>
  </conditionalFormatting>
  <conditionalFormatting sqref="W341:Z341">
    <cfRule type="cellIs" priority="704" dxfId="0" operator="greaterThan" stopIfTrue="1">
      <formula>0</formula>
    </cfRule>
  </conditionalFormatting>
  <conditionalFormatting sqref="P378:Q378">
    <cfRule type="expression" priority="696" dxfId="0" stopIfTrue="1">
      <formula>OR(ISERROR(P378),P378="")</formula>
    </cfRule>
    <cfRule type="expression" priority="697" dxfId="0" stopIfTrue="1">
      <formula>AND($U378="Positive Number",P378&lt;0)</formula>
    </cfRule>
  </conditionalFormatting>
  <conditionalFormatting sqref="W361:Z361">
    <cfRule type="cellIs" priority="701" dxfId="0" operator="greaterThan" stopIfTrue="1">
      <formula>0</formula>
    </cfRule>
  </conditionalFormatting>
  <conditionalFormatting sqref="P327:Q327">
    <cfRule type="expression" priority="638" dxfId="0" stopIfTrue="1">
      <formula>OR(ISERROR(P327),P327="")</formula>
    </cfRule>
    <cfRule type="expression" priority="639" dxfId="0" stopIfTrue="1">
      <formula>AND($U327="Positive Number",P327&lt;0)</formula>
    </cfRule>
  </conditionalFormatting>
  <conditionalFormatting sqref="W378:Z378">
    <cfRule type="cellIs" priority="698" dxfId="0" operator="greaterThan" stopIfTrue="1">
      <formula>0</formula>
    </cfRule>
  </conditionalFormatting>
  <conditionalFormatting sqref="W452:X452">
    <cfRule type="cellIs" priority="692" dxfId="0" operator="greaterThan" stopIfTrue="1">
      <formula>0</formula>
    </cfRule>
  </conditionalFormatting>
  <conditionalFormatting sqref="Q452">
    <cfRule type="expression" priority="691" dxfId="0" stopIfTrue="1">
      <formula>OR(ISERROR(Q452),Q452="")</formula>
    </cfRule>
  </conditionalFormatting>
  <conditionalFormatting sqref="P452">
    <cfRule type="expression" priority="689" dxfId="0" stopIfTrue="1">
      <formula>OR(ISERROR(P452),P452="")</formula>
    </cfRule>
  </conditionalFormatting>
  <conditionalFormatting sqref="W456:X456">
    <cfRule type="cellIs" priority="686" dxfId="0" operator="greaterThan" stopIfTrue="1">
      <formula>0</formula>
    </cfRule>
  </conditionalFormatting>
  <conditionalFormatting sqref="P463:Q463">
    <cfRule type="expression" priority="683" dxfId="0" stopIfTrue="1">
      <formula>OR(ISERROR(P463),P463="")</formula>
    </cfRule>
    <cfRule type="expression" priority="684" dxfId="0" stopIfTrue="1">
      <formula>AND($U463="Positive Number",P463&lt;0)</formula>
    </cfRule>
  </conditionalFormatting>
  <conditionalFormatting sqref="X463:Z463">
    <cfRule type="cellIs" priority="685" dxfId="0" operator="greaterThan" stopIfTrue="1">
      <formula>0</formula>
    </cfRule>
  </conditionalFormatting>
  <conditionalFormatting sqref="P96:Q97">
    <cfRule type="expression" priority="646" dxfId="0" stopIfTrue="1">
      <formula>OR(ISERROR(P96),P96="")</formula>
    </cfRule>
    <cfRule type="expression" priority="647" dxfId="0" stopIfTrue="1">
      <formula>AND($U96="Positive Number",P96&lt;0)</formula>
    </cfRule>
  </conditionalFormatting>
  <conditionalFormatting sqref="W237:Z238">
    <cfRule type="cellIs" priority="660" dxfId="0" operator="greaterThan" stopIfTrue="1">
      <formula>0</formula>
    </cfRule>
  </conditionalFormatting>
  <conditionalFormatting sqref="L57">
    <cfRule type="expression" priority="600" dxfId="0" stopIfTrue="1">
      <formula>OR(ISERROR(L57),L57="")</formula>
    </cfRule>
    <cfRule type="expression" priority="601" dxfId="0" stopIfTrue="1">
      <formula>AND($U57="Positive Number",L57&lt;0)</formula>
    </cfRule>
  </conditionalFormatting>
  <conditionalFormatting sqref="L151:L152">
    <cfRule type="expression" priority="652" dxfId="0" stopIfTrue="1">
      <formula>OR(ISERROR(L151),L151="")</formula>
    </cfRule>
    <cfRule type="expression" priority="653" dxfId="0" stopIfTrue="1">
      <formula>AND($U151="Positive Number",L151&lt;0)</formula>
    </cfRule>
  </conditionalFormatting>
  <conditionalFormatting sqref="W211:Z212">
    <cfRule type="cellIs" priority="663" dxfId="0" operator="greaterThan" stopIfTrue="1">
      <formula>0</formula>
    </cfRule>
  </conditionalFormatting>
  <conditionalFormatting sqref="W184:Z185">
    <cfRule type="cellIs" priority="657" dxfId="0" operator="greaterThan" stopIfTrue="1">
      <formula>0</formula>
    </cfRule>
  </conditionalFormatting>
  <conditionalFormatting sqref="W151:Z152">
    <cfRule type="cellIs" priority="654" dxfId="0" operator="greaterThan" stopIfTrue="1">
      <formula>0</formula>
    </cfRule>
  </conditionalFormatting>
  <conditionalFormatting sqref="W127:Z128">
    <cfRule type="cellIs" priority="651" dxfId="0" operator="greaterThan" stopIfTrue="1">
      <formula>0</formula>
    </cfRule>
  </conditionalFormatting>
  <conditionalFormatting sqref="W96:Z97">
    <cfRule type="cellIs" priority="648" dxfId="0" operator="greaterThan" stopIfTrue="1">
      <formula>0</formula>
    </cfRule>
  </conditionalFormatting>
  <conditionalFormatting sqref="P62:Q63">
    <cfRule type="expression" priority="643" dxfId="0" stopIfTrue="1">
      <formula>OR(ISERROR(P62),P62="")</formula>
    </cfRule>
    <cfRule type="expression" priority="644" dxfId="0" stopIfTrue="1">
      <formula>AND($U62="Positive Number",P62&lt;0)</formula>
    </cfRule>
  </conditionalFormatting>
  <conditionalFormatting sqref="W62:Z63">
    <cfRule type="cellIs" priority="645" dxfId="0" operator="greaterThan" stopIfTrue="1">
      <formula>0</formula>
    </cfRule>
  </conditionalFormatting>
  <conditionalFormatting sqref="L301">
    <cfRule type="expression" priority="634" dxfId="0" stopIfTrue="1">
      <formula>OR(ISERROR(L301),L301="")</formula>
    </cfRule>
    <cfRule type="expression" priority="635" dxfId="0" stopIfTrue="1">
      <formula>AND($U301="Positive Number",L301&lt;0)</formula>
    </cfRule>
  </conditionalFormatting>
  <conditionalFormatting sqref="W38:Z39">
    <cfRule type="cellIs" priority="642" dxfId="0" operator="greaterThan" stopIfTrue="1">
      <formula>0</formula>
    </cfRule>
  </conditionalFormatting>
  <conditionalFormatting sqref="L327">
    <cfRule type="expression" priority="636" dxfId="0" stopIfTrue="1">
      <formula>OR(ISERROR(L327),L327="")</formula>
    </cfRule>
    <cfRule type="expression" priority="637" dxfId="0" stopIfTrue="1">
      <formula>AND($U327="Positive Number",L327&lt;0)</formula>
    </cfRule>
  </conditionalFormatting>
  <conditionalFormatting sqref="L342">
    <cfRule type="expression" priority="630" dxfId="0" stopIfTrue="1">
      <formula>OR(ISERROR(L342),L342="")</formula>
    </cfRule>
    <cfRule type="expression" priority="631" dxfId="0" stopIfTrue="1">
      <formula>AND($U342="Positive Number",L342&lt;0)</formula>
    </cfRule>
  </conditionalFormatting>
  <conditionalFormatting sqref="P301:Q301">
    <cfRule type="expression" priority="632" dxfId="0" stopIfTrue="1">
      <formula>OR(ISERROR(P301),P301="")</formula>
    </cfRule>
    <cfRule type="expression" priority="633" dxfId="0" stopIfTrue="1">
      <formula>AND($U301="Positive Number",P301&lt;0)</formula>
    </cfRule>
  </conditionalFormatting>
  <conditionalFormatting sqref="P342:Q342">
    <cfRule type="expression" priority="628" dxfId="0" stopIfTrue="1">
      <formula>OR(ISERROR(P342),P342="")</formula>
    </cfRule>
    <cfRule type="expression" priority="629" dxfId="0" stopIfTrue="1">
      <formula>AND($U342="Positive Number",P342&lt;0)</formula>
    </cfRule>
  </conditionalFormatting>
  <conditionalFormatting sqref="P464:Q464">
    <cfRule type="expression" priority="622" dxfId="0" stopIfTrue="1">
      <formula>OR(ISERROR(P464),P464="")</formula>
    </cfRule>
    <cfRule type="expression" priority="623" dxfId="0" stopIfTrue="1">
      <formula>AND($U464="Positive Number",P464&lt;0)</formula>
    </cfRule>
  </conditionalFormatting>
  <conditionalFormatting sqref="L90">
    <cfRule type="expression" priority="597" dxfId="0" stopIfTrue="1">
      <formula>OR(ISERROR(L90),L90="")</formula>
    </cfRule>
    <cfRule type="expression" priority="598" dxfId="0" stopIfTrue="1">
      <formula>AND($U90="Positive Number",L90&lt;0)</formula>
    </cfRule>
  </conditionalFormatting>
  <conditionalFormatting sqref="W406:Z406">
    <cfRule type="cellIs" priority="615" dxfId="0" operator="greaterThan" stopIfTrue="1">
      <formula>0</formula>
    </cfRule>
  </conditionalFormatting>
  <conditionalFormatting sqref="W368:Z368">
    <cfRule type="cellIs" priority="602" dxfId="0" operator="greaterThan" stopIfTrue="1">
      <formula>0</formula>
    </cfRule>
  </conditionalFormatting>
  <conditionalFormatting sqref="W90:Z90">
    <cfRule type="cellIs" priority="596" dxfId="0" operator="greaterThan" stopIfTrue="1">
      <formula>0</formula>
    </cfRule>
  </conditionalFormatting>
  <conditionalFormatting sqref="W34:Z35">
    <cfRule type="cellIs" priority="595" dxfId="0" operator="greaterThan" stopIfTrue="1">
      <formula>0</formula>
    </cfRule>
  </conditionalFormatting>
  <conditionalFormatting sqref="W32:Z32">
    <cfRule type="cellIs" priority="592" dxfId="0" operator="greaterThan" stopIfTrue="1">
      <formula>0</formula>
    </cfRule>
  </conditionalFormatting>
  <conditionalFormatting sqref="W33:Z33">
    <cfRule type="cellIs" priority="589" dxfId="0" operator="greaterThan" stopIfTrue="1">
      <formula>0</formula>
    </cfRule>
  </conditionalFormatting>
  <conditionalFormatting sqref="P368:Q368">
    <cfRule type="expression" priority="510" dxfId="0" stopIfTrue="1">
      <formula>OR(ISERROR(P368),P368="")</formula>
    </cfRule>
    <cfRule type="expression" priority="511" dxfId="0" stopIfTrue="1">
      <formula>AND($U368="Positive Number",P368&lt;0)</formula>
    </cfRule>
  </conditionalFormatting>
  <conditionalFormatting sqref="L229">
    <cfRule type="expression" priority="539" dxfId="0" stopIfTrue="1">
      <formula>OR(ISERROR(L229),L229="")</formula>
    </cfRule>
    <cfRule type="expression" priority="540" dxfId="0" stopIfTrue="1">
      <formula>AND($U229="Positive Number",L229&lt;0)</formula>
    </cfRule>
  </conditionalFormatting>
  <conditionalFormatting sqref="W145:Z145">
    <cfRule type="cellIs" priority="550" dxfId="0" operator="greaterThan" stopIfTrue="1">
      <formula>0</formula>
    </cfRule>
  </conditionalFormatting>
  <conditionalFormatting sqref="L145">
    <cfRule type="expression" priority="551" dxfId="0" stopIfTrue="1">
      <formula>OR(ISERROR(L145),L145="")</formula>
    </cfRule>
    <cfRule type="expression" priority="552" dxfId="0" stopIfTrue="1">
      <formula>AND($U145="Positive Number",L145&lt;0)</formula>
    </cfRule>
  </conditionalFormatting>
  <conditionalFormatting sqref="W122:Z122">
    <cfRule type="cellIs" priority="546" dxfId="0" operator="greaterThan" stopIfTrue="1">
      <formula>0</formula>
    </cfRule>
  </conditionalFormatting>
  <conditionalFormatting sqref="W123:Z124">
    <cfRule type="cellIs" priority="549" dxfId="0" operator="greaterThan" stopIfTrue="1">
      <formula>0</formula>
    </cfRule>
  </conditionalFormatting>
  <conditionalFormatting sqref="W121:Z121">
    <cfRule type="cellIs" priority="543" dxfId="0" operator="greaterThan" stopIfTrue="1">
      <formula>0</formula>
    </cfRule>
  </conditionalFormatting>
  <conditionalFormatting sqref="W229:Z229">
    <cfRule type="cellIs" priority="538" dxfId="0" operator="greaterThan" stopIfTrue="1">
      <formula>0</formula>
    </cfRule>
  </conditionalFormatting>
  <conditionalFormatting sqref="P392:Q392">
    <cfRule type="expression" priority="422" dxfId="0" stopIfTrue="1">
      <formula>OR(ISERROR(P392),P392="")</formula>
    </cfRule>
    <cfRule type="expression" priority="423" dxfId="0" stopIfTrue="1">
      <formula>AND($U392="Positive Number",P392&lt;0)</formula>
    </cfRule>
  </conditionalFormatting>
  <conditionalFormatting sqref="L368">
    <cfRule type="expression" priority="434" dxfId="0" stopIfTrue="1">
      <formula>OR(ISERROR(L368),L368="")</formula>
    </cfRule>
    <cfRule type="expression" priority="435" dxfId="0" stopIfTrue="1">
      <formula>AND($U368="Positive Number",L368&lt;0)</formula>
    </cfRule>
  </conditionalFormatting>
  <conditionalFormatting sqref="P390:Q390">
    <cfRule type="expression" priority="424" dxfId="0" stopIfTrue="1">
      <formula>OR(ISERROR(P390),P390="")</formula>
    </cfRule>
    <cfRule type="expression" priority="425" dxfId="0" stopIfTrue="1">
      <formula>AND($U390="Positive Number",P390&lt;0)</formula>
    </cfRule>
  </conditionalFormatting>
  <conditionalFormatting sqref="L390">
    <cfRule type="expression" priority="430" dxfId="0" stopIfTrue="1">
      <formula>OR(ISERROR(L390),L390="")</formula>
    </cfRule>
    <cfRule type="expression" priority="431" dxfId="0" stopIfTrue="1">
      <formula>AND($U390="Positive Number",L390&lt;0)</formula>
    </cfRule>
  </conditionalFormatting>
  <conditionalFormatting sqref="L392">
    <cfRule type="expression" priority="428" dxfId="0" stopIfTrue="1">
      <formula>OR(ISERROR(L392),L392="")</formula>
    </cfRule>
    <cfRule type="expression" priority="429" dxfId="0" stopIfTrue="1">
      <formula>AND($U392="Positive Number",L392&lt;0)</formula>
    </cfRule>
  </conditionalFormatting>
  <conditionalFormatting sqref="L394">
    <cfRule type="expression" priority="426" dxfId="0" stopIfTrue="1">
      <formula>OR(ISERROR(L394),L394="")</formula>
    </cfRule>
    <cfRule type="expression" priority="427" dxfId="0" stopIfTrue="1">
      <formula>AND($U394="Positive Number",L394&lt;0)</formula>
    </cfRule>
  </conditionalFormatting>
  <conditionalFormatting sqref="P394:Q394">
    <cfRule type="expression" priority="420" dxfId="0" stopIfTrue="1">
      <formula>OR(ISERROR(P394),P394="")</formula>
    </cfRule>
    <cfRule type="expression" priority="421" dxfId="0" stopIfTrue="1">
      <formula>AND($U394="Positive Number",P394&lt;0)</formula>
    </cfRule>
  </conditionalFormatting>
  <conditionalFormatting sqref="L463">
    <cfRule type="expression" priority="419" dxfId="0" stopIfTrue="1">
      <formula>OR(ISERROR(L463),L463="")</formula>
    </cfRule>
  </conditionalFormatting>
  <conditionalFormatting sqref="L62">
    <cfRule type="expression" priority="417" dxfId="0" stopIfTrue="1">
      <formula>OR(ISERROR(L62),L62="")</formula>
    </cfRule>
    <cfRule type="expression" priority="418" dxfId="0" stopIfTrue="1">
      <formula>AND($U62="Positive Number",L62&lt;0)</formula>
    </cfRule>
  </conditionalFormatting>
  <conditionalFormatting sqref="L63">
    <cfRule type="expression" priority="413" dxfId="0" stopIfTrue="1">
      <formula>OR(ISERROR(L63),L63="")</formula>
    </cfRule>
    <cfRule type="expression" priority="414" dxfId="0" stopIfTrue="1">
      <formula>AND($U63="Positive Number",L63&lt;0)</formula>
    </cfRule>
  </conditionalFormatting>
  <conditionalFormatting sqref="L61">
    <cfRule type="expression" priority="411" dxfId="0" stopIfTrue="1">
      <formula>OR(ISERROR(L61),L61="")</formula>
    </cfRule>
    <cfRule type="expression" priority="412" dxfId="0" stopIfTrue="1">
      <formula>AND($U61="Positive Number",L61&lt;0)</formula>
    </cfRule>
  </conditionalFormatting>
  <conditionalFormatting sqref="L451:L454">
    <cfRule type="expression" priority="407" dxfId="0" stopIfTrue="1">
      <formula>OR(ISERROR(L451),L451="")</formula>
    </cfRule>
    <cfRule type="expression" priority="408" dxfId="0" stopIfTrue="1">
      <formula>AND($U451="Positive Number",L451&lt;0)</formula>
    </cfRule>
  </conditionalFormatting>
  <conditionalFormatting sqref="L50">
    <cfRule type="expression" priority="405" dxfId="0" stopIfTrue="1">
      <formula>OR(ISERROR(L50),L50="")</formula>
    </cfRule>
    <cfRule type="expression" priority="406" dxfId="0" stopIfTrue="1">
      <formula>AND($U50="Positive Number",L50&lt;0)</formula>
    </cfRule>
  </conditionalFormatting>
  <conditionalFormatting sqref="L51">
    <cfRule type="expression" priority="403" dxfId="0" stopIfTrue="1">
      <formula>OR(ISERROR(L51),L51="")</formula>
    </cfRule>
    <cfRule type="expression" priority="404" dxfId="0" stopIfTrue="1">
      <formula>AND($U51="Positive Number",L51&lt;0)</formula>
    </cfRule>
  </conditionalFormatting>
  <conditionalFormatting sqref="P50:Q51">
    <cfRule type="expression" priority="401" dxfId="0" stopIfTrue="1">
      <formula>OR(ISERROR(P50),P50="")</formula>
    </cfRule>
    <cfRule type="expression" priority="402" dxfId="0" stopIfTrue="1">
      <formula>AND($U50="Positive Number",P50&lt;0)</formula>
    </cfRule>
  </conditionalFormatting>
  <conditionalFormatting sqref="L139">
    <cfRule type="expression" priority="397" dxfId="0" stopIfTrue="1">
      <formula>OR(ISERROR(L139),L139="")</formula>
    </cfRule>
    <cfRule type="expression" priority="398" dxfId="0" stopIfTrue="1">
      <formula>AND($U139="Positive Number",L139&lt;0)</formula>
    </cfRule>
  </conditionalFormatting>
  <conditionalFormatting sqref="L140">
    <cfRule type="expression" priority="395" dxfId="0" stopIfTrue="1">
      <formula>OR(ISERROR(L140),L140="")</formula>
    </cfRule>
    <cfRule type="expression" priority="396" dxfId="0" stopIfTrue="1">
      <formula>AND($U140="Positive Number",L140&lt;0)</formula>
    </cfRule>
  </conditionalFormatting>
  <conditionalFormatting sqref="P139:Q139">
    <cfRule type="expression" priority="393" dxfId="0" stopIfTrue="1">
      <formula>OR(ISERROR(P139),P139="")</formula>
    </cfRule>
    <cfRule type="expression" priority="394" dxfId="0" stopIfTrue="1">
      <formula>AND($U139="Positive Number",P139&lt;0)</formula>
    </cfRule>
  </conditionalFormatting>
  <conditionalFormatting sqref="P140:Q140">
    <cfRule type="expression" priority="391" dxfId="0" stopIfTrue="1">
      <formula>OR(ISERROR(P140),P140="")</formula>
    </cfRule>
    <cfRule type="expression" priority="392" dxfId="0" stopIfTrue="1">
      <formula>AND($U140="Positive Number",P140&lt;0)</formula>
    </cfRule>
  </conditionalFormatting>
  <conditionalFormatting sqref="L223">
    <cfRule type="expression" priority="385" dxfId="0" stopIfTrue="1">
      <formula>OR(ISERROR(L223),L223="")</formula>
    </cfRule>
    <cfRule type="expression" priority="386" dxfId="0" stopIfTrue="1">
      <formula>AND($U223="Positive Number",L223&lt;0)</formula>
    </cfRule>
  </conditionalFormatting>
  <conditionalFormatting sqref="L224">
    <cfRule type="expression" priority="383" dxfId="0" stopIfTrue="1">
      <formula>OR(ISERROR(L224),L224="")</formula>
    </cfRule>
    <cfRule type="expression" priority="384" dxfId="0" stopIfTrue="1">
      <formula>AND($U224="Positive Number",L224&lt;0)</formula>
    </cfRule>
  </conditionalFormatting>
  <conditionalFormatting sqref="P223:Q223">
    <cfRule type="expression" priority="381" dxfId="0" stopIfTrue="1">
      <formula>OR(ISERROR(P223),P223="")</formula>
    </cfRule>
    <cfRule type="expression" priority="382" dxfId="0" stopIfTrue="1">
      <formula>AND($U223="Positive Number",P223&lt;0)</formula>
    </cfRule>
  </conditionalFormatting>
  <conditionalFormatting sqref="P224:Q224">
    <cfRule type="expression" priority="379" dxfId="0" stopIfTrue="1">
      <formula>OR(ISERROR(P224),P224="")</formula>
    </cfRule>
    <cfRule type="expression" priority="380" dxfId="0" stopIfTrue="1">
      <formula>AND($U224="Positive Number",P224&lt;0)</formula>
    </cfRule>
  </conditionalFormatting>
  <conditionalFormatting sqref="D430">
    <cfRule type="expression" priority="373" dxfId="0" stopIfTrue="1">
      <formula>OR(ISERROR(D430),D430="")</formula>
    </cfRule>
    <cfRule type="expression" priority="374" dxfId="0" stopIfTrue="1">
      <formula>AND($U430="Positive Number",D430&lt;0)</formula>
    </cfRule>
  </conditionalFormatting>
  <conditionalFormatting sqref="Q430:Q435 Q437:Q442">
    <cfRule type="expression" priority="367" dxfId="0" stopIfTrue="1">
      <formula>OR(ISERROR(Q430),Q430="")</formula>
    </cfRule>
  </conditionalFormatting>
  <conditionalFormatting sqref="P430:P435 P437:P442">
    <cfRule type="expression" priority="365" dxfId="0" stopIfTrue="1">
      <formula>OR(ISERROR(P430),P430="")</formula>
    </cfRule>
  </conditionalFormatting>
  <conditionalFormatting sqref="Q436">
    <cfRule type="expression" priority="364" dxfId="0" stopIfTrue="1">
      <formula>OR(ISERROR(Q436),Q436="")</formula>
    </cfRule>
  </conditionalFormatting>
  <conditionalFormatting sqref="P436">
    <cfRule type="expression" priority="362" dxfId="0" stopIfTrue="1">
      <formula>OR(ISERROR(P436),P436="")</formula>
    </cfRule>
  </conditionalFormatting>
  <conditionalFormatting sqref="O139">
    <cfRule type="expression" priority="95" dxfId="0" stopIfTrue="1">
      <formula>OR(ISERROR(O139),O139="")</formula>
    </cfRule>
    <cfRule type="expression" priority="96" dxfId="0" stopIfTrue="1">
      <formula>AND($U139="Positive Number",O139&lt;0)</formula>
    </cfRule>
  </conditionalFormatting>
  <conditionalFormatting sqref="O140">
    <cfRule type="expression" priority="93" dxfId="0" stopIfTrue="1">
      <formula>OR(ISERROR(O140),O140="")</formula>
    </cfRule>
    <cfRule type="expression" priority="94" dxfId="0" stopIfTrue="1">
      <formula>AND($U140="Positive Number",O140&lt;0)</formula>
    </cfRule>
  </conditionalFormatting>
  <conditionalFormatting sqref="O223">
    <cfRule type="expression" priority="91" dxfId="0" stopIfTrue="1">
      <formula>OR(ISERROR(O223),O223="")</formula>
    </cfRule>
    <cfRule type="expression" priority="92" dxfId="0" stopIfTrue="1">
      <formula>AND($U223="Positive Number",O223&lt;0)</formula>
    </cfRule>
  </conditionalFormatting>
  <conditionalFormatting sqref="O224">
    <cfRule type="expression" priority="89" dxfId="0" stopIfTrue="1">
      <formula>OR(ISERROR(O224),O224="")</formula>
    </cfRule>
    <cfRule type="expression" priority="90" dxfId="0" stopIfTrue="1">
      <formula>AND($U224="Positive Number",O224&lt;0)</formula>
    </cfRule>
  </conditionalFormatting>
  <conditionalFormatting sqref="O309">
    <cfRule type="expression" priority="148" dxfId="0" stopIfTrue="1">
      <formula>OR(ISERROR(O309),O309="")</formula>
    </cfRule>
    <cfRule type="expression" priority="149" dxfId="0" stopIfTrue="1">
      <formula>AND($U309="Positive Number",O309&lt;0)</formula>
    </cfRule>
  </conditionalFormatting>
  <conditionalFormatting sqref="O412 O427 O415:O419 O421 O454 O461:O462">
    <cfRule type="expression" priority="150" dxfId="0" stopIfTrue="1">
      <formula>OR(ISERROR(O412),O412="")</formula>
    </cfRule>
  </conditionalFormatting>
  <conditionalFormatting sqref="O451 O453">
    <cfRule type="expression" priority="147" dxfId="0" stopIfTrue="1">
      <formula>OR(ISERROR(O451),O451="")</formula>
    </cfRule>
  </conditionalFormatting>
  <conditionalFormatting sqref="O445">
    <cfRule type="expression" priority="145" dxfId="0" stopIfTrue="1">
      <formula>OR(ISERROR(O445),O445="")</formula>
    </cfRule>
    <cfRule type="expression" priority="146" dxfId="0" stopIfTrue="1">
      <formula>AND($U445="Positive Number",O445&lt;0)</formula>
    </cfRule>
  </conditionalFormatting>
  <conditionalFormatting sqref="O471:O472">
    <cfRule type="expression" priority="144" dxfId="0" stopIfTrue="1">
      <formula>OR(ISERROR(O471),O471="")</formula>
    </cfRule>
  </conditionalFormatting>
  <conditionalFormatting sqref="O474:O475">
    <cfRule type="expression" priority="143" dxfId="0" stopIfTrue="1">
      <formula>OR(ISERROR(O474),O474="")</formula>
    </cfRule>
  </conditionalFormatting>
  <conditionalFormatting sqref="O477">
    <cfRule type="expression" priority="142" dxfId="0" stopIfTrue="1">
      <formula>OR(ISERROR(O477),O477="")</formula>
    </cfRule>
  </conditionalFormatting>
  <conditionalFormatting sqref="O480">
    <cfRule type="expression" priority="141" dxfId="0" stopIfTrue="1">
      <formula>OR(ISERROR(O480),O480="")</formula>
    </cfRule>
  </conditionalFormatting>
  <conditionalFormatting sqref="O184:O185">
    <cfRule type="expression" priority="121" dxfId="0" stopIfTrue="1">
      <formula>OR(ISERROR(O184),O184="")</formula>
    </cfRule>
    <cfRule type="expression" priority="122" dxfId="0" stopIfTrue="1">
      <formula>AND($U184="Positive Number",O184&lt;0)</formula>
    </cfRule>
  </conditionalFormatting>
  <conditionalFormatting sqref="O420">
    <cfRule type="expression" priority="140" dxfId="0" stopIfTrue="1">
      <formula>OR(ISERROR(O420),O420="")</formula>
    </cfRule>
  </conditionalFormatting>
  <conditionalFormatting sqref="O75">
    <cfRule type="expression" priority="138" dxfId="0" stopIfTrue="1">
      <formula>OR(ISERROR(O75),O75="")</formula>
    </cfRule>
    <cfRule type="expression" priority="139" dxfId="0" stopIfTrue="1">
      <formula>AND($U75="Positive Number",O75&lt;0)</formula>
    </cfRule>
  </conditionalFormatting>
  <conditionalFormatting sqref="O164">
    <cfRule type="expression" priority="136" dxfId="0" stopIfTrue="1">
      <formula>OR(ISERROR(O164),O164="")</formula>
    </cfRule>
    <cfRule type="expression" priority="137" dxfId="0" stopIfTrue="1">
      <formula>AND($U164="Positive Number",O164&lt;0)</formula>
    </cfRule>
  </conditionalFormatting>
  <conditionalFormatting sqref="O197">
    <cfRule type="expression" priority="134" dxfId="0" stopIfTrue="1">
      <formula>OR(ISERROR(O197),O197="")</formula>
    </cfRule>
    <cfRule type="expression" priority="135" dxfId="0" stopIfTrue="1">
      <formula>AND($U197="Positive Number",O197&lt;0)</formula>
    </cfRule>
  </conditionalFormatting>
  <conditionalFormatting sqref="O379">
    <cfRule type="expression" priority="109" dxfId="0" stopIfTrue="1">
      <formula>OR(ISERROR(O379),O379="")</formula>
    </cfRule>
    <cfRule type="expression" priority="110" dxfId="0" stopIfTrue="1">
      <formula>AND($U379="Positive Number",O379&lt;0)</formula>
    </cfRule>
  </conditionalFormatting>
  <conditionalFormatting sqref="O300">
    <cfRule type="expression" priority="132" dxfId="0" stopIfTrue="1">
      <formula>OR(ISERROR(O300),O300="")</formula>
    </cfRule>
    <cfRule type="expression" priority="133" dxfId="0" stopIfTrue="1">
      <formula>AND($U300="Positive Number",O300&lt;0)</formula>
    </cfRule>
  </conditionalFormatting>
  <conditionalFormatting sqref="O326">
    <cfRule type="expression" priority="130" dxfId="0" stopIfTrue="1">
      <formula>OR(ISERROR(O326),O326="")</formula>
    </cfRule>
    <cfRule type="expression" priority="131" dxfId="0" stopIfTrue="1">
      <formula>AND($U326="Positive Number",O326&lt;0)</formula>
    </cfRule>
  </conditionalFormatting>
  <conditionalFormatting sqref="O341">
    <cfRule type="expression" priority="128" dxfId="0" stopIfTrue="1">
      <formula>OR(ISERROR(O341),O341="")</formula>
    </cfRule>
    <cfRule type="expression" priority="129" dxfId="0" stopIfTrue="1">
      <formula>AND($U341="Positive Number",O341&lt;0)</formula>
    </cfRule>
  </conditionalFormatting>
  <conditionalFormatting sqref="O378">
    <cfRule type="expression" priority="126" dxfId="0" stopIfTrue="1">
      <formula>OR(ISERROR(O378),O378="")</formula>
    </cfRule>
    <cfRule type="expression" priority="127" dxfId="0" stopIfTrue="1">
      <formula>AND($U378="Positive Number",O378&lt;0)</formula>
    </cfRule>
  </conditionalFormatting>
  <conditionalFormatting sqref="O327">
    <cfRule type="expression" priority="115" dxfId="0" stopIfTrue="1">
      <formula>OR(ISERROR(O327),O327="")</formula>
    </cfRule>
    <cfRule type="expression" priority="116" dxfId="0" stopIfTrue="1">
      <formula>AND($U327="Positive Number",O327&lt;0)</formula>
    </cfRule>
  </conditionalFormatting>
  <conditionalFormatting sqref="O452">
    <cfRule type="expression" priority="125" dxfId="0" stopIfTrue="1">
      <formula>OR(ISERROR(O452),O452="")</formula>
    </cfRule>
  </conditionalFormatting>
  <conditionalFormatting sqref="O463">
    <cfRule type="expression" priority="123" dxfId="0" stopIfTrue="1">
      <formula>OR(ISERROR(O463),O463="")</formula>
    </cfRule>
    <cfRule type="expression" priority="124" dxfId="0" stopIfTrue="1">
      <formula>AND($U463="Positive Number",O463&lt;0)</formula>
    </cfRule>
  </conditionalFormatting>
  <conditionalFormatting sqref="O96:O97">
    <cfRule type="expression" priority="119" dxfId="0" stopIfTrue="1">
      <formula>OR(ISERROR(O96),O96="")</formula>
    </cfRule>
    <cfRule type="expression" priority="120" dxfId="0" stopIfTrue="1">
      <formula>AND($U96="Positive Number",O96&lt;0)</formula>
    </cfRule>
  </conditionalFormatting>
  <conditionalFormatting sqref="O62:O63">
    <cfRule type="expression" priority="117" dxfId="0" stopIfTrue="1">
      <formula>OR(ISERROR(O62),O62="")</formula>
    </cfRule>
    <cfRule type="expression" priority="118" dxfId="0" stopIfTrue="1">
      <formula>AND($U62="Positive Number",O62&lt;0)</formula>
    </cfRule>
  </conditionalFormatting>
  <conditionalFormatting sqref="O301">
    <cfRule type="expression" priority="113" dxfId="0" stopIfTrue="1">
      <formula>OR(ISERROR(O301),O301="")</formula>
    </cfRule>
    <cfRule type="expression" priority="114" dxfId="0" stopIfTrue="1">
      <formula>AND($U301="Positive Number",O301&lt;0)</formula>
    </cfRule>
  </conditionalFormatting>
  <conditionalFormatting sqref="O342">
    <cfRule type="expression" priority="111" dxfId="0" stopIfTrue="1">
      <formula>OR(ISERROR(O342),O342="")</formula>
    </cfRule>
    <cfRule type="expression" priority="112" dxfId="0" stopIfTrue="1">
      <formula>AND($U342="Positive Number",O342&lt;0)</formula>
    </cfRule>
  </conditionalFormatting>
  <conditionalFormatting sqref="O464">
    <cfRule type="expression" priority="107" dxfId="0" stopIfTrue="1">
      <formula>OR(ISERROR(O464),O464="")</formula>
    </cfRule>
    <cfRule type="expression" priority="108" dxfId="0" stopIfTrue="1">
      <formula>AND($U464="Positive Number",O464&lt;0)</formula>
    </cfRule>
  </conditionalFormatting>
  <conditionalFormatting sqref="O368">
    <cfRule type="expression" priority="105" dxfId="0" stopIfTrue="1">
      <formula>OR(ISERROR(O368),O368="")</formula>
    </cfRule>
    <cfRule type="expression" priority="106" dxfId="0" stopIfTrue="1">
      <formula>AND($U368="Positive Number",O368&lt;0)</formula>
    </cfRule>
  </conditionalFormatting>
  <conditionalFormatting sqref="O392">
    <cfRule type="expression" priority="101" dxfId="0" stopIfTrue="1">
      <formula>OR(ISERROR(O392),O392="")</formula>
    </cfRule>
    <cfRule type="expression" priority="102" dxfId="0" stopIfTrue="1">
      <formula>AND($U392="Positive Number",O392&lt;0)</formula>
    </cfRule>
  </conditionalFormatting>
  <conditionalFormatting sqref="O390">
    <cfRule type="expression" priority="103" dxfId="0" stopIfTrue="1">
      <formula>OR(ISERROR(O390),O390="")</formula>
    </cfRule>
    <cfRule type="expression" priority="104" dxfId="0" stopIfTrue="1">
      <formula>AND($U390="Positive Number",O390&lt;0)</formula>
    </cfRule>
  </conditionalFormatting>
  <conditionalFormatting sqref="O394">
    <cfRule type="expression" priority="99" dxfId="0" stopIfTrue="1">
      <formula>OR(ISERROR(O394),O394="")</formula>
    </cfRule>
    <cfRule type="expression" priority="100" dxfId="0" stopIfTrue="1">
      <formula>AND($U394="Positive Number",O394&lt;0)</formula>
    </cfRule>
  </conditionalFormatting>
  <conditionalFormatting sqref="O50:O51">
    <cfRule type="expression" priority="97" dxfId="0" stopIfTrue="1">
      <formula>OR(ISERROR(O50),O50="")</formula>
    </cfRule>
    <cfRule type="expression" priority="98" dxfId="0" stopIfTrue="1">
      <formula>AND($U50="Positive Number",O50&lt;0)</formula>
    </cfRule>
  </conditionalFormatting>
  <conditionalFormatting sqref="O430:O435 O437:O442">
    <cfRule type="expression" priority="88" dxfId="0" stopIfTrue="1">
      <formula>OR(ISERROR(O430),O430="")</formula>
    </cfRule>
  </conditionalFormatting>
  <conditionalFormatting sqref="O436">
    <cfRule type="expression" priority="87" dxfId="0" stopIfTrue="1">
      <formula>OR(ISERROR(O436),O436="")</formula>
    </cfRule>
  </conditionalFormatting>
  <conditionalFormatting sqref="O448:Q448">
    <cfRule type="expression" priority="9" dxfId="0" stopIfTrue="1">
      <formula>OR(ISERROR(O448),O448="")</formula>
    </cfRule>
    <cfRule type="expression" priority="10" dxfId="0" stopIfTrue="1">
      <formula>AND($U448="Positive Number",O448&lt;0)</formula>
    </cfRule>
  </conditionalFormatting>
  <conditionalFormatting sqref="L448">
    <cfRule type="expression" priority="6" dxfId="0" stopIfTrue="1">
      <formula>OR(ISERROR(L448),L448="")</formula>
    </cfRule>
    <cfRule type="expression" priority="7" dxfId="0" stopIfTrue="1">
      <formula>AND($U448="Positive Number",L448&lt;0)</formula>
    </cfRule>
  </conditionalFormatting>
  <conditionalFormatting sqref="W448:Z448">
    <cfRule type="cellIs" priority="8" dxfId="0" operator="greaterThan" stopIfTrue="1">
      <formula>0</formula>
    </cfRule>
  </conditionalFormatting>
  <conditionalFormatting sqref="O447:Q447">
    <cfRule type="expression" priority="4" dxfId="0" stopIfTrue="1">
      <formula>OR(ISERROR(O447),O447="")</formula>
    </cfRule>
    <cfRule type="expression" priority="5" dxfId="0" stopIfTrue="1">
      <formula>AND($U447="Positive Number",O447&lt;0)</formula>
    </cfRule>
  </conditionalFormatting>
  <conditionalFormatting sqref="L447">
    <cfRule type="expression" priority="1" dxfId="0" stopIfTrue="1">
      <formula>OR(ISERROR(L447),L447="")</formula>
    </cfRule>
    <cfRule type="expression" priority="2" dxfId="0" stopIfTrue="1">
      <formula>AND($U447="Positive Number",L447&lt;0)</formula>
    </cfRule>
  </conditionalFormatting>
  <conditionalFormatting sqref="W447:Z447">
    <cfRule type="cellIs" priority="3" dxfId="0" operator="greaterThan" stopIfTrue="1">
      <formula>0</formula>
    </cfRule>
  </conditionalFormatting>
  <dataValidations count="5">
    <dataValidation type="list" allowBlank="1" showInputMessage="1" showErrorMessage="1" errorTitle="Credit Suisse Investor Relations" error="Please enter a name from the list..." sqref="E5">
      <formula1>Primary</formula1>
    </dataValidation>
    <dataValidation type="list" allowBlank="1" showInputMessage="1" showErrorMessage="1" errorTitle="Credit Suisse Investor Relations" error="Please enter a name from the list..." sqref="E6">
      <formula1>Backup</formula1>
    </dataValidation>
    <dataValidation type="list" allowBlank="1" showInputMessage="1" showErrorMessage="1" errorTitle="Credit Suisse Investor Relations" error="Please enter a name from the list..." sqref="E7">
      <formula1>Institution</formula1>
    </dataValidation>
    <dataValidation type="list" allowBlank="1" showInputMessage="1" showErrorMessage="1" errorTitle="Credit Suisse Investor Relations" error="Please enter a rating from the list..." sqref="E8">
      <formula1>Rating</formula1>
    </dataValidation>
    <dataValidation type="list" allowBlank="1" showInputMessage="1" showErrorMessage="1" errorTitle="Credit Suisse Investor Relations" error="Please enter a price from the list..." sqref="E9">
      <formula1>Target</formula1>
    </dataValidation>
  </dataValidations>
  <printOptions horizontalCentered="1"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31" r:id="rId2"/>
  <rowBreaks count="6" manualBreakCount="6">
    <brk id="117" max="24" man="1"/>
    <brk id="205" max="24" man="1"/>
    <brk id="278" max="24" man="1"/>
    <brk id="343" max="24" man="1"/>
    <brk id="380" max="24" man="1"/>
    <brk id="465" max="24" man="1"/>
  </rowBreaks>
  <ignoredErrors>
    <ignoredError sqref="M391:M393 M316 Q182 P114:P116 P316 R308:R315 L312 P312:Q312 R285:R288 L94 P94:Q94 P60:Q60 L149 P149:Q149 L182 M206:N208 M202:N204 M193:N193 L193 L316 L206:L208 P206:Q208 P202:Q204 P193:Q193" formula="1"/>
    <ignoredError sqref="P451:Q451 L8 O8:Q9 M113:N113 P166:Q166 M272:N273 P415:Q422 P77:Q77 P327:R327 P332:Q335 M342 M361:M362 P464:Q465 M65:N65 M96:M99 M211:M212 M225:N228 P249:Q250 P300:Q302 P326:Q326 P341:Q342 M58 Q62:Q63 Q96:Q97 M406:M407 M370:M372 M100:N100 AF446 C443:C446 M74:M77 P74:Q75 M108:M109 M249:M250 M271 M367 M112 M56 P56:Q58 M90:M91 P90:Q93 Q99:Q100 P96:P100 Q65 P62:P65 P179:Q181 M163:M164 M121:M130 P145:Q148 M150:M154 M237:M238 P237:Q239 P306:Q307 P367:Q368 P378:Q379 M223:M224 M374 L390 P390:Q390 P394:Q394 L463 M26:Q27 M62:M64 M179:M181 P50:Q51 M93 M282:M283 P282:Q283 P112:Q113 P271:R273 M373:N373 N125 M139:M140 M50:M51 M378:M379 M394 L237:L239 L150:L152 M145:M148 L164 L90:L93 L367:L368 M326:M327 M300:M301 M131:N131 L370:L373 L57:L58 M244:N245 M241:N241 M220:N220 L180:L181 M142:N142 L96:L97 M363:N363 L341:L342 M332:M335 M306:M307 L154 L99:L100 M103:N104 M107:N107 M134:N135 L27 L273 M262:N262 M166 L113 M451 P150:Q154 P163:Q164 P262:Q262 P134:Q135 P107:Q109 P103:Q104 P363:Q363 P142:Q142 P220:Q220 P241:Q241 P244:Q245 P372:Q373 P131:Q131 P125:Q125 L109 L225:L231 P225:Q231 M229:M231 R265:R270 L451 L166 L262 L134:L135 L107 L103:L104 L306:L307 L332:L335 L363 L142 L220 L241 L244:L245 L131 L300:L301 L326:L327 L145:L148 L394 L378:L379 L50:L51 L139:L140" evalError="1"/>
    <ignoredError sqref="M473 M466:N469 M460:N460 M455:M456 M459:N459 M461 M464 M452 P452:Q452 M453 P453:Q453 M454 P454:Q454 M457 M458 P463:Q463 M470:N470 M472 M471 M475 M474 P474:Q474 P475:Q475 M480 P480:Q480 M463 P473:Q473 P460:Q460 L480 L474 L475 L471 L472 L464 L459 L460 L466:L469 L473 M165 P76:Q76 M110:M111 M251:N251 M195:N195 M196:M197 M198:N198 N187 M209:M210 M213:M214 M218:M219 P110:Q111 P165:Q165 M182:M188 M265:M266 M267:M270 P313:Q313 M252:M253 P253:Q253 M254:N257 P95:Q95 P59:Q59 P61:Q61 P182 P183:Q185 M239:M240 P236:Q236 P240:Q240 P265:Q266 P269:Q270 P289:Q289 P314:Q315 M199:M200 L369 P369:Q371 L391:L393 P391:Q393 P308:Q311 M308:M315 P287:Q288 M94:M95 M59:M61 M149 M235:M236 P187:Q188 M284:M289 P268:Q268 P284:Q285 P251:Q252 M141:N141 M191:N192 M201:N201 P195:Q196 M215:N215 M261:N261 L287:L289 L313:L315 L308:L311 L261 L236 L254 L268:L270 L265:L266 L183:L185 L188 L215 L201 L195 L191:L192 L141 L95 L252 L111 P198:Q199 P197:Q197 P254:Q257 P141:Q141 P191:Q192 P201:Q201 P215:Q215 P261:Q261 L197 L199 P459:Q459 P461:Q461 P466:Q472 M476:M478 P476:Q478 L476:L478" evalError="1" unlockedFormula="1"/>
    <ignoredError sqref="M165 P76:Q76 M110:M111 M251:N251 M195:N195 M196:M197 M198:N198 N187 M209:M210 M213:M214 M218:M219 P110:Q111 P165:Q165 M182:M188 M265:M266 M267:M270 P313:Q313 M252:M253 P253:Q253 M254:N257 P95:Q95 P59:Q59 P61:Q61 P182 P183:Q185 M239:M240 P236:Q236 P240:Q240 P265:Q266 P269:Q270 P289:Q289 P314:Q315 M199:M200 L369 P369:Q371 L391:L393 P391:Q393 P308:Q311 M308:M315 P287:Q288 M94:M95 M59:M61 M149 M235:M236 P187:Q188 M284:M289 P268:Q268 P284:Q285 P251:Q252 M141:N141 M191:N192 M201:N201 P195:Q196 M215:N215 M261:N261 L287:L289 L313:L315 L308:L311 L261 L236 L254 L268:L270 L265:L266 L183:L185 L188 L215 L201 L195 L191:L192 L141 L95 L252 L111 P198:Q199 P197:Q197 P254:Q257 P141:Q141 P191:Q192 P201:Q201 P215:Q215 P261:Q261 L197 L199" evalError="1" formula="1"/>
    <ignoredError sqref="P459:Q459 P461:Q461 P466:Q472 M476:M478 P476:Q478 L476:L478" evalError="1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gthurm</dc:creator>
  <cp:keywords/>
  <dc:description/>
  <cp:lastModifiedBy>Rohrbasser, Yannick (TABI)</cp:lastModifiedBy>
  <cp:lastPrinted>2016-01-13T22:53:05Z</cp:lastPrinted>
  <dcterms:created xsi:type="dcterms:W3CDTF">2006-10-10T09:05:50Z</dcterms:created>
  <dcterms:modified xsi:type="dcterms:W3CDTF">2018-05-07T09:39:33Z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-1953562108</vt:i4>
  </property>
  <property fmtid="{D5CDD505-2E9C-101B-9397-08002B2CF9AE}" pid="3" name="_PreviousAdHocReviewCycleID">
    <vt:i4>-32156020</vt:i4>
  </property>
  <property fmtid="{D5CDD505-2E9C-101B-9397-08002B2CF9AE}" pid="4" name="_SIProp12DataClass+1a737d0e-4fa0-4d15-b420-084e93a157b3">
    <vt:lpwstr>v=1.2&gt;I=1a737d0e-4fa0-4d15-b420-084e93a157b3&amp;N=Unprotected&amp;U=System&amp;V=1.2&amp;A=ASSOCIATED</vt:lpwstr>
  </property>
  <property fmtid="{D5CDD505-2E9C-101B-9397-08002B2CF9AE}" pid="5" name="Classification">
    <vt:lpwstr>Unprotected|Confidential</vt:lpwstr>
  </property>
  <property fmtid="{D5CDD505-2E9C-101B-9397-08002B2CF9AE}" pid="6" name="_NewReviewCycle">
    <vt:lpwstr/>
  </property>
  <property fmtid="{D5CDD505-2E9C-101B-9397-08002B2CF9AE}" pid="7" name="_EmailSubject">
    <vt:lpwstr>Input Sheet</vt:lpwstr>
  </property>
  <property fmtid="{D5CDD505-2E9C-101B-9397-08002B2CF9AE}" pid="8" name="_AuthorEmail">
    <vt:lpwstr>yannick.rohrbasser@credit-suisse.com</vt:lpwstr>
  </property>
  <property fmtid="{D5CDD505-2E9C-101B-9397-08002B2CF9AE}" pid="9" name="_AuthorEmailDisplayName">
    <vt:lpwstr>Rohrbasser, Yannick (DALC)</vt:lpwstr>
  </property>
  <property fmtid="{D5CDD505-2E9C-101B-9397-08002B2CF9AE}" pid="10" name="_IQPDocumentId">
    <vt:lpwstr>a3809a26-f37d-4f49-a70f-eacdc12037d3</vt:lpwstr>
  </property>
  <property fmtid="{D5CDD505-2E9C-101B-9397-08002B2CF9AE}" pid="11" name="_SIProp12DataClass+9d401f75-6608-41d3-bd1f-efe1542cdc01">
    <vt:lpwstr>v=1.2&gt;I=9d401f75-6608-41d3-bd1f-efe1542cdc01&amp;N=Confidential&amp;V=1.3&amp;U=System&amp;D=System&amp;A=Associated&amp;H=False</vt:lpwstr>
  </property>
</Properties>
</file>