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5" windowWidth="19005" windowHeight="11700" tabRatio="72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Management'!$A$1:$AA$101</definedName>
    <definedName name="_xlnm.Print_Area" localSheetId="11">'Assets under Management'!$A$1:$AA$23</definedName>
    <definedName name="_xlnm.Print_Area" localSheetId="7">'CIC'!$A$1:$W$38</definedName>
    <definedName name="_xlnm.Print_Area" localSheetId="2">'Core Results'!$A$1:$AA$47</definedName>
    <definedName name="_xlnm.Print_Area" localSheetId="3">'Core Results by region'!$A$1:$AA$24</definedName>
    <definedName name="_xlnm.Print_Area" localSheetId="10">'Corporate Center'!$A$1:$AA$19</definedName>
    <definedName name="_xlnm.Print_Area" localSheetId="0">'Credit Suisse'!$A$1:$AA$79</definedName>
    <definedName name="_xlnm.Print_Area" localSheetId="8">'Investment Banking'!$A$1:$AA$54</definedName>
    <definedName name="_xlnm.Print_Area" localSheetId="1">'Noncontrolling interests'!$A$1:$AA$22</definedName>
    <definedName name="_xlnm.Print_Area" localSheetId="4">'Private Banking'!$A$1:$W$59</definedName>
    <definedName name="_xlnm.Print_Area" localSheetId="5">'Private Banking_2'!$A$1:$W$58</definedName>
    <definedName name="_xlnm.Print_Area" localSheetId="6">'WMC'!$A$1:$W$33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<sst xmlns="http://schemas.openxmlformats.org/spreadsheetml/2006/main" count="736" uniqueCount="228">
  <si>
    <t xml:space="preserve">Certain reclassifications have been made to prior periods to conform to the current presentation. </t>
  </si>
  <si>
    <t>Assets under management - Private Banking</t>
  </si>
  <si>
    <t>Net new assets (CHF billion)</t>
  </si>
  <si>
    <t>Equity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</si>
  <si>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</si>
  <si>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</si>
  <si>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</si>
  <si>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</si>
  <si>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</si>
  <si>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</si>
  <si>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</si>
  <si>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</si>
  <si>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</si>
  <si>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</si>
  <si>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</si>
  <si>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</si>
  <si>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</si>
  <si>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</si>
  <si>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</si>
  <si>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</si>
  <si>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</si>
  <si>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</si>
  <si>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</si>
  <si>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</si>
  <si>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</si>
  <si>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</si>
  <si>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</si>
  <si>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</si>
  <si>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</si>
  <si>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</si>
  <si>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</si>
  <si>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</si>
  <si>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</si>
  <si>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</si>
  <si>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</si>
  <si>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</si>
  <si>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</si>
  <si>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</si>
  <si>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</si>
  <si>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</si>
  <si>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</si>
  <si>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</si>
  <si>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</si>
  <si>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</si>
  <si>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</si>
  <si>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</si>
  <si>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</si>
  <si>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</si>
  <si>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</si>
  <si>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</si>
  <si>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</si>
  <si>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</si>
  <si>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</si>
  <si>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</si>
  <si>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</si>
  <si>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</si>
  <si>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</si>
  <si>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</si>
  <si>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</si>
  <si>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</si>
  <si>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</si>
  <si>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</si>
  <si>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</si>
  <si>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</si>
  <si>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</si>
  <si>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</si>
  <si>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</si>
  <si>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</si>
  <si>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</si>
  <si>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</si>
  <si>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</si>
  <si>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</si>
  <si>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</si>
  <si>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</si>
  <si>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</si>
  <si>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</si>
  <si>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</si>
  <si>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</si>
  <si>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</si>
  <si>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</si>
  <si>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</si>
  <si>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</si>
  <si>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</si>
  <si>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</si>
  <si>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</si>
  <si>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</si>
  <si>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</si>
  <si>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</si>
  <si>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</si>
  <si>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</si>
  <si>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</si>
  <si>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</si>
  <si>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</si>
  <si>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</si>
  <si>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</si>
  <si>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</si>
  <si>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</si>
  <si>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</si>
  <si>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</si>
  <si>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</si>
  <si>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</si>
  <si>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</si>
  <si>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</si>
  <si>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</si>
  <si>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</si>
  <si>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</si>
  <si>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</si>
  <si>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</si>
  <si>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</si>
  <si>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</si>
  <si>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</si>
  <si>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</si>
  <si>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</si>
  <si>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</si>
  <si>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</si>
  <si>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</si>
  <si>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</si>
  <si>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</si>
  <si>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</si>
  <si>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</si>
  <si>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</si>
  <si>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</si>
  <si>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</si>
  <si>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</si>
  <si>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</si>
  <si>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Based on amounts attributable to shareholders.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</si>
  <si>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</si>
  <si>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</si>
  <si>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</si>
  <si>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</si>
  <si>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</si>
  <si>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</si>
  <si>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</si>
  <si>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</si>
  <si>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</si>
  <si>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</si>
  <si>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</si>
  <si>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</si>
  <si>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</si>
  <si>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</si>
  <si>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</si>
  <si>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</si>
  <si>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</si>
  <si>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</si>
  <si>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</si>
  <si>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</si>
  <si>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</si>
  <si>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</si>
  <si>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</si>
  <si>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</si>
  <si>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</si>
  <si>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</si>
  <si>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</si>
  <si>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</si>
  <si>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</si>
  <si>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</si>
  <si>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</si>
  <si>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</si>
  <si>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</si>
  <si>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</si>
  <si>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</si>
  <si>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</si>
  <si>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</si>
  <si>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</si>
  <si>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</si>
  <si>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</si>
  <si>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</si>
  <si>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</si>
  <si>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</si>
  <si>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</si>
  <si>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</si>
  <si>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</si>
  <si>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</si>
  <si>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</si>
  <si>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</si>
  <si>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</si>
  <si>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</si>
  <si>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</si>
  <si>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</si>
  <si>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</si>
  <si>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</si>
  <si>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</si>
  <si>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</si>
  <si>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</si>
  <si>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</si>
  <si>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Prior period 2007 has not been restated to reflect the realignment of our client coverage in Private Banking.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</si>
  <si>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</si>
  <si>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</si>
  <si>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</si>
  <si>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</si>
  <si>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</si>
  <si>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</si>
  <si>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</si>
  <si>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</si>
  <si>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</si>
  <si>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Equity participations gains/(losses)</t>
  </si>
  <si>
    <t>Net revenue detail by investment strategies (CHF million)</t>
  </si>
  <si>
    <t>Alternative investments</t>
  </si>
  <si>
    <t>Traditional investments</t>
  </si>
  <si>
    <t xml:space="preserve">Diversified investments </t>
  </si>
  <si>
    <t>Net revenues before investment-related gains/(losses)</t>
  </si>
  <si>
    <t>Fee-based margin on assets under management (annualized) (bp)</t>
  </si>
  <si>
    <t>Fee-based margin</t>
  </si>
  <si>
    <t>Assets under management - Asset Management</t>
  </si>
  <si>
    <t>of which hedge funds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</si>
  <si>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</si>
  <si>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</si>
  <si>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</si>
  <si>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</si>
  <si>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</si>
  <si>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other</t>
  </si>
  <si>
    <t>of which multi-asset class solutions</t>
  </si>
  <si>
    <t>of which fixed income &amp; equities</t>
  </si>
  <si>
    <t>of which Swiss advisory</t>
  </si>
  <si>
    <t>Diversified investments</t>
  </si>
  <si>
    <t>Assets under management by currency (CHF billion)</t>
  </si>
  <si>
    <t xml:space="preserve">of which currency </t>
  </si>
  <si>
    <t>Growth in
assets under management</t>
  </si>
  <si>
    <t>Principal investments (CHF billion)</t>
  </si>
  <si>
    <t>Principal investments</t>
  </si>
  <si>
    <t>2Q11</t>
  </si>
  <si>
    <t>Average one-day, 98% risk magagement Value-at-Risk</t>
  </si>
  <si>
    <t>na</t>
  </si>
  <si>
    <t>Average one-day, 98% risk management Value-at-Risk</t>
  </si>
  <si>
    <t>Average one-day, 98% risk management Value-at-Risk (CHF million)</t>
  </si>
  <si>
    <t>3Q11</t>
  </si>
  <si>
    <t>4Q11</t>
  </si>
  <si>
    <t>Under Basel II.5 as of December 31, 2011. Prior period ratios were reported under Basel II and therefore not comparable.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</si>
</sst>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.00_);\(&quot;$&quot;#,##0.00\)"/>
    <numFmt numFmtId="165" formatCode="_(* #,##0_);_(* \(#,##0\);_(* &quot;-&quot;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#,##0_);\(#,##0\);@_)"/>
    <numFmt numFmtId="171" formatCode="#,##0.0_);\(#,##0.0\);@_)"/>
    <numFmt numFmtId="172" formatCode="#,##0.00_);\(#,##0.00\);@_)"/>
    <numFmt numFmtId="173" formatCode="0.0"/>
    <numFmt numFmtId="174" formatCode=";;;"/>
    <numFmt numFmtId="175" formatCode="_(* #,##0&quot;bp&quot;_);_(* \(#,##0&quot;bp&quot;\);_(* &quot;-bp&quot;_);_(@_)"/>
    <numFmt numFmtId="176" formatCode="#,##0.000_ ;[Red]\-#,##0.000\ "/>
    <numFmt numFmtId="177" formatCode="#,##0;\-#,##0;&quot;-&quot;"/>
    <numFmt numFmtId="178" formatCode="0.000_)"/>
    <numFmt numFmtId="179" formatCode="_(* #,##0.0_);_(* \(#,##0.0\);_(* &quot;-&quot;??_);_(@_)"/>
    <numFmt numFmtId="180" formatCode="&quot;$&quot;#,##0.0;\(&quot;$&quot;#,##0.0\);&quot;$&quot;#,##0.0"/>
    <numFmt numFmtId="181" formatCode="_(&quot;$&quot;* #,##0.0_);_(&quot;$&quot;* \(#,##0.0\);_(&quot;$&quot;* &quot;-&quot;_);_(@_)"/>
    <numFmt numFmtId="182" formatCode="&quot;$&quot;#,##0.00"/>
    <numFmt numFmtId="183" formatCode="_([$€-2]* #,##0.00_);_([$€-2]* \(#,##0.00\);_([$€-2]* &quot;-&quot;??_)"/>
    <numFmt numFmtId="184" formatCode="#,##0;\(#,##0\)"/>
    <numFmt numFmtId="185" formatCode="dd\-mmm\-yy_)"/>
    <numFmt numFmtId="186" formatCode="#,##0.0\x_);\(#,##0.0\x\);#,##0.0\x_);@_)"/>
    <numFmt numFmtId="187" formatCode="_(* #,##0\ \x_);_(* \(#,##0\ \x\);_(* &quot;-&quot;??_);_(@_)"/>
    <numFmt numFmtId="188" formatCode="_(* #,##0.0\ \x_);_(* \(#,##0.0\ \x\);_(* &quot;-&quot;??_);_(@_)"/>
    <numFmt numFmtId="189" formatCode="General_)"/>
    <numFmt numFmtId="190" formatCode="0.00000000000%"/>
    <numFmt numFmtId="191" formatCode="#,##0,_);\(#,##0,_)\)"/>
    <numFmt numFmtId="192" formatCode="0.0000000%"/>
    <numFmt numFmtId="193" formatCode="0.0%"/>
    <numFmt numFmtId="194" formatCode="#,##0.0\%_);\(#,##0.0\%\);#,##0.0\%_);@_)"/>
    <numFmt numFmtId="195" formatCode="#,##0.0,,;\(#,##0.0,,\)"/>
    <numFmt numFmtId="196" formatCode="mm/dd/yy"/>
    <numFmt numFmtId="197" formatCode="#,##0.0_);\(#,##0.0\);\–"/>
    <numFmt numFmtId="198" formatCode="#,##0.0;\(#,##0.0\)"/>
    <numFmt numFmtId="199" formatCode="#,##0.0;\(#,##0.0\);\–"/>
    <numFmt numFmtId="200" formatCode="#,##0;\(#,##0\);\–"/>
    <numFmt numFmtId="201" formatCode="#,##0.00_);\(#,##0.00\);\–"/>
    <numFmt numFmtId="202" formatCode="#,##0.0;\(#,##0.0\);0.0"/>
    <numFmt numFmtId="203" formatCode="#,##0.0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"/>
      <color indexed="8"/>
      <name val="Courier"/>
      <family val="0"/>
    </font>
    <font>
      <sz val="8"/>
      <color indexed="14"/>
      <name val="Times New Roman"/>
      <family val="1"/>
    </font>
    <font>
      <b/>
      <sz val="1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rgb="FF00336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dotted">
        <color indexed="55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28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174" fontId="11" fillId="0" borderId="0" applyFont="0" applyFill="0" applyBorder="0" applyAlignment="0"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165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164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165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75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7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177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43" fontId="0" fillId="0" borderId="0" applyFont="0" applyFill="0" applyBorder="0" applyAlignment="0" applyProtection="0"/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1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44" fontId="0" fillId="0" borderId="0" applyFont="0" applyFill="0" applyBorder="0" applyAlignment="0" applyProtection="0"/>
    <xf numFmtId="180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0" fontId="36" fillId="0" borderId="0">
      <alignment/>
      <protection locked="0"/>
    </xf>
    <xf numFmtId="182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9" applyNumberFormat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86" fontId="57" fillId="0" borderId="0" applyFont="0" applyFill="0" applyBorder="0" applyProtection="0">
      <alignment horizontal="right"/>
    </xf>
    <xf numFmtId="187" fontId="22" fillId="0" borderId="0" applyFont="0" applyFill="0" applyBorder="0" applyAlignment="0" applyProtection="0"/>
    <xf numFmtId="188" fontId="58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0" fontId="61" fillId="0" borderId="0">
      <alignment/>
      <protection/>
    </xf>
    <xf numFmtId="189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1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194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195" fontId="4" fillId="23" borderId="17">
      <alignment horizontal="right"/>
      <protection/>
    </xf>
    <xf numFmtId="0" fontId="7" fillId="0" borderId="0">
      <alignment/>
      <protection/>
    </xf>
    <xf numFmtId="195" fontId="4" fillId="0" borderId="23" applyFill="0">
      <alignment/>
      <protection/>
    </xf>
    <xf numFmtId="0" fontId="68" fillId="0" borderId="7" applyNumberFormat="0" applyFill="0" applyBorder="0" applyAlignment="0" applyProtection="0"/>
    <xf numFmtId="196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9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24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170" fontId="0" fillId="0" borderId="2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0" fontId="0" fillId="0" borderId="3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1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0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0" fontId="0" fillId="0" borderId="33" xfId="0" applyNumberFormat="1" applyFont="1" applyFill="1" applyBorder="1" applyAlignment="1">
      <alignment horizontal="right" vertical="center"/>
    </xf>
    <xf numFmtId="171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70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170" fontId="0" fillId="0" borderId="35" xfId="0" applyNumberFormat="1" applyFont="1" applyFill="1" applyBorder="1" applyAlignment="1" quotePrefix="1">
      <alignment horizontal="right" vertical="center"/>
    </xf>
    <xf numFmtId="0" fontId="4" fillId="0" borderId="31" xfId="0" applyNumberFormat="1" applyFont="1" applyFill="1" applyBorder="1" applyAlignment="1">
      <alignment horizontal="left" vertical="center" wrapText="1"/>
    </xf>
    <xf numFmtId="170" fontId="9" fillId="0" borderId="31" xfId="0" applyNumberFormat="1" applyFont="1" applyFill="1" applyBorder="1" applyAlignment="1">
      <alignment horizontal="right" vertical="center"/>
    </xf>
    <xf numFmtId="170" fontId="9" fillId="0" borderId="32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 quotePrefix="1">
      <alignment horizontal="right" vertical="center"/>
    </xf>
    <xf numFmtId="170" fontId="10" fillId="0" borderId="33" xfId="0" applyNumberFormat="1" applyFont="1" applyFill="1" applyBorder="1" applyAlignment="1">
      <alignment horizontal="right" vertical="center"/>
    </xf>
    <xf numFmtId="170" fontId="10" fillId="0" borderId="34" xfId="0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70" fontId="10" fillId="0" borderId="29" xfId="0" applyNumberFormat="1" applyFont="1" applyFill="1" applyBorder="1" applyAlignment="1">
      <alignment horizontal="right" vertical="center"/>
    </xf>
    <xf numFmtId="170" fontId="10" fillId="0" borderId="30" xfId="0" applyNumberFormat="1" applyFont="1" applyFill="1" applyBorder="1" applyAlignment="1">
      <alignment horizontal="right" vertical="center"/>
    </xf>
    <xf numFmtId="170" fontId="10" fillId="0" borderId="30" xfId="0" applyNumberFormat="1" applyFont="1" applyFill="1" applyBorder="1" applyAlignment="1" quotePrefix="1">
      <alignment horizontal="right" vertical="center"/>
    </xf>
    <xf numFmtId="170" fontId="10" fillId="0" borderId="35" xfId="0" applyNumberFormat="1" applyFont="1" applyFill="1" applyBorder="1" applyAlignment="1">
      <alignment horizontal="right" vertical="center"/>
    </xf>
    <xf numFmtId="171" fontId="10" fillId="0" borderId="35" xfId="0" applyNumberFormat="1" applyFont="1" applyFill="1" applyBorder="1" applyAlignment="1">
      <alignment horizontal="right" vertical="center"/>
    </xf>
    <xf numFmtId="170" fontId="10" fillId="0" borderId="35" xfId="0" applyNumberFormat="1" applyFont="1" applyFill="1" applyBorder="1" applyAlignment="1" quotePrefix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171" fontId="10" fillId="0" borderId="3" xfId="0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1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1" fontId="0" fillId="0" borderId="31" xfId="0" applyNumberFormat="1" applyFont="1" applyFill="1" applyBorder="1" applyAlignment="1">
      <alignment horizontal="right" vertical="center"/>
    </xf>
    <xf numFmtId="170" fontId="0" fillId="0" borderId="31" xfId="0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horizontal="right" vertical="center"/>
    </xf>
    <xf numFmtId="171" fontId="10" fillId="0" borderId="31" xfId="0" applyNumberFormat="1" applyFont="1" applyFill="1" applyBorder="1" applyAlignment="1">
      <alignment horizontal="right" vertical="center"/>
    </xf>
    <xf numFmtId="170" fontId="10" fillId="0" borderId="31" xfId="0" applyNumberFormat="1" applyFont="1" applyFill="1" applyBorder="1" applyAlignment="1">
      <alignment horizontal="right" vertical="center"/>
    </xf>
    <xf numFmtId="172" fontId="10" fillId="0" borderId="33" xfId="0" applyNumberFormat="1" applyFont="1" applyFill="1" applyBorder="1" applyAlignment="1">
      <alignment horizontal="right" vertical="center"/>
    </xf>
    <xf numFmtId="172" fontId="10" fillId="0" borderId="31" xfId="0" applyNumberFormat="1" applyFont="1" applyFill="1" applyBorder="1" applyAlignment="1">
      <alignment horizontal="right" vertical="center"/>
    </xf>
    <xf numFmtId="170" fontId="10" fillId="0" borderId="4" xfId="0" applyNumberFormat="1" applyFont="1" applyFill="1" applyBorder="1" applyAlignment="1">
      <alignment horizontal="right" vertical="center"/>
    </xf>
    <xf numFmtId="170" fontId="80" fillId="0" borderId="35" xfId="0" applyNumberFormat="1" applyFont="1" applyFill="1" applyBorder="1" applyAlignment="1">
      <alignment horizontal="right" vertical="center"/>
    </xf>
    <xf numFmtId="170" fontId="0" fillId="16" borderId="31" xfId="0" applyNumberFormat="1" applyFont="1" applyFill="1" applyBorder="1" applyAlignment="1">
      <alignment horizontal="right" vertical="center"/>
    </xf>
    <xf numFmtId="170" fontId="0" fillId="16" borderId="33" xfId="0" applyNumberFormat="1" applyFont="1" applyFill="1" applyBorder="1" applyAlignment="1">
      <alignment horizontal="right" vertical="center"/>
    </xf>
    <xf numFmtId="171" fontId="4" fillId="0" borderId="2" xfId="0" applyNumberFormat="1" applyFont="1" applyFill="1" applyBorder="1" applyAlignment="1">
      <alignment horizontal="right" vertical="center"/>
    </xf>
    <xf numFmtId="170" fontId="10" fillId="0" borderId="36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 horizontal="right" vertical="center"/>
    </xf>
    <xf numFmtId="0" fontId="21" fillId="0" borderId="3" xfId="0" applyNumberFormat="1" applyFont="1" applyFill="1" applyBorder="1" applyAlignment="1">
      <alignment vertical="center"/>
    </xf>
    <xf numFmtId="171" fontId="21" fillId="0" borderId="3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171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1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1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0" fontId="21" fillId="0" borderId="33" xfId="0" applyNumberFormat="1" applyFont="1" applyFill="1" applyBorder="1" applyAlignment="1">
      <alignment vertical="center"/>
    </xf>
    <xf numFmtId="171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0" fontId="10" fillId="16" borderId="0" xfId="0" applyNumberFormat="1" applyFont="1" applyFill="1" applyBorder="1" applyAlignment="1">
      <alignment horizontal="right" vertical="center"/>
    </xf>
    <xf numFmtId="170" fontId="10" fillId="16" borderId="30" xfId="0" applyNumberFormat="1" applyFont="1" applyFill="1" applyBorder="1" applyAlignment="1" quotePrefix="1">
      <alignment horizontal="right" vertical="center"/>
    </xf>
    <xf numFmtId="170" fontId="82" fillId="0" borderId="29" xfId="0" applyNumberFormat="1" applyFont="1" applyFill="1" applyBorder="1" applyAlignment="1">
      <alignment horizontal="right" vertical="center"/>
    </xf>
    <xf numFmtId="170" fontId="82" fillId="0" borderId="30" xfId="0" applyNumberFormat="1" applyFont="1" applyFill="1" applyBorder="1" applyAlignment="1">
      <alignment horizontal="right" vertical="center"/>
    </xf>
    <xf numFmtId="170" fontId="82" fillId="0" borderId="0" xfId="0" applyNumberFormat="1" applyFont="1" applyFill="1" applyBorder="1" applyAlignment="1">
      <alignment horizontal="right" vertical="center"/>
    </xf>
    <xf numFmtId="170" fontId="83" fillId="0" borderId="31" xfId="0" applyNumberFormat="1" applyFont="1" applyFill="1" applyBorder="1" applyAlignment="1">
      <alignment horizontal="right" vertical="center"/>
    </xf>
    <xf numFmtId="170" fontId="83" fillId="0" borderId="32" xfId="0" applyNumberFormat="1" applyFont="1" applyFill="1" applyBorder="1" applyAlignment="1">
      <alignment horizontal="right" vertical="center"/>
    </xf>
    <xf numFmtId="170" fontId="82" fillId="0" borderId="0" xfId="0" applyNumberFormat="1" applyFont="1" applyFill="1" applyBorder="1" applyAlignment="1" quotePrefix="1">
      <alignment horizontal="right" vertical="center"/>
    </xf>
    <xf numFmtId="170" fontId="82" fillId="0" borderId="33" xfId="0" applyNumberFormat="1" applyFont="1" applyFill="1" applyBorder="1" applyAlignment="1">
      <alignment horizontal="right" vertical="center"/>
    </xf>
    <xf numFmtId="170" fontId="82" fillId="0" borderId="34" xfId="0" applyNumberFormat="1" applyFont="1" applyFill="1" applyBorder="1" applyAlignment="1">
      <alignment horizontal="right" vertical="center"/>
    </xf>
    <xf numFmtId="170" fontId="83" fillId="0" borderId="0" xfId="0" applyNumberFormat="1" applyFont="1" applyFill="1" applyBorder="1" applyAlignment="1">
      <alignment horizontal="right" vertical="center"/>
    </xf>
    <xf numFmtId="170" fontId="82" fillId="0" borderId="30" xfId="0" applyNumberFormat="1" applyFont="1" applyFill="1" applyBorder="1" applyAlignment="1" quotePrefix="1">
      <alignment horizontal="right" vertical="center"/>
    </xf>
    <xf numFmtId="197" fontId="10" fillId="0" borderId="29" xfId="0" applyNumberFormat="1" applyFont="1" applyFill="1" applyBorder="1" applyAlignment="1">
      <alignment horizontal="right" vertical="center"/>
    </xf>
    <xf numFmtId="197" fontId="9" fillId="0" borderId="31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170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0" fontId="10" fillId="0" borderId="39" xfId="0" applyNumberFormat="1" applyFont="1" applyFill="1" applyBorder="1" applyAlignment="1">
      <alignment horizontal="right" vertical="center"/>
    </xf>
    <xf numFmtId="197" fontId="0" fillId="0" borderId="35" xfId="0" applyNumberFormat="1" applyFont="1" applyFill="1" applyBorder="1" applyAlignment="1">
      <alignment horizontal="right" vertical="center"/>
    </xf>
    <xf numFmtId="197" fontId="0" fillId="0" borderId="31" xfId="0" applyNumberFormat="1" applyFont="1" applyFill="1" applyBorder="1" applyAlignment="1">
      <alignment horizontal="right" vertical="center"/>
    </xf>
    <xf numFmtId="170" fontId="21" fillId="0" borderId="29" xfId="0" applyNumberFormat="1" applyFont="1" applyFill="1" applyBorder="1" applyAlignment="1">
      <alignment horizontal="right" vertical="center"/>
    </xf>
    <xf numFmtId="170" fontId="21" fillId="0" borderId="30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/>
    </xf>
    <xf numFmtId="170" fontId="81" fillId="0" borderId="31" xfId="0" applyNumberFormat="1" applyFont="1" applyFill="1" applyBorder="1" applyAlignment="1">
      <alignment horizontal="right" vertical="center"/>
    </xf>
    <xf numFmtId="170" fontId="81" fillId="0" borderId="32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 quotePrefix="1">
      <alignment horizontal="right" vertical="center"/>
    </xf>
    <xf numFmtId="170" fontId="21" fillId="0" borderId="33" xfId="0" applyNumberFormat="1" applyFont="1" applyFill="1" applyBorder="1" applyAlignment="1">
      <alignment horizontal="right" vertical="center"/>
    </xf>
    <xf numFmtId="170" fontId="21" fillId="0" borderId="34" xfId="0" applyNumberFormat="1" applyFont="1" applyFill="1" applyBorder="1" applyAlignment="1">
      <alignment horizontal="right" vertical="center"/>
    </xf>
    <xf numFmtId="170" fontId="21" fillId="16" borderId="0" xfId="0" applyNumberFormat="1" applyFont="1" applyFill="1" applyBorder="1" applyAlignment="1">
      <alignment horizontal="right" vertical="center"/>
    </xf>
    <xf numFmtId="170" fontId="21" fillId="16" borderId="30" xfId="0" applyNumberFormat="1" applyFont="1" applyFill="1" applyBorder="1" applyAlignment="1" quotePrefix="1">
      <alignment horizontal="right" vertical="center"/>
    </xf>
    <xf numFmtId="170" fontId="21" fillId="0" borderId="35" xfId="0" applyNumberFormat="1" applyFont="1" applyFill="1" applyBorder="1" applyAlignment="1">
      <alignment horizontal="right" vertical="center"/>
    </xf>
    <xf numFmtId="170" fontId="21" fillId="0" borderId="31" xfId="0" applyNumberFormat="1" applyFont="1" applyFill="1" applyBorder="1" applyAlignment="1">
      <alignment horizontal="right" vertical="center"/>
    </xf>
    <xf numFmtId="171" fontId="21" fillId="0" borderId="31" xfId="0" applyNumberFormat="1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0" fontId="21" fillId="0" borderId="30" xfId="0" applyNumberFormat="1" applyFont="1" applyFill="1" applyBorder="1" applyAlignment="1" quotePrefix="1">
      <alignment horizontal="right" vertical="center"/>
    </xf>
    <xf numFmtId="170" fontId="21" fillId="0" borderId="2" xfId="0" applyNumberFormat="1" applyFont="1" applyFill="1" applyBorder="1" applyAlignment="1">
      <alignment horizontal="right" vertical="center"/>
    </xf>
    <xf numFmtId="170" fontId="21" fillId="0" borderId="35" xfId="0" applyNumberFormat="1" applyFont="1" applyFill="1" applyBorder="1" applyAlignment="1" quotePrefix="1">
      <alignment horizontal="right" vertical="center"/>
    </xf>
    <xf numFmtId="170" fontId="21" fillId="0" borderId="36" xfId="0" applyNumberFormat="1" applyFont="1" applyFill="1" applyBorder="1" applyAlignment="1">
      <alignment horizontal="right" vertical="center"/>
    </xf>
    <xf numFmtId="170" fontId="21" fillId="0" borderId="3" xfId="0" applyNumberFormat="1" applyFont="1" applyFill="1" applyBorder="1" applyAlignment="1">
      <alignment horizontal="right" vertical="center"/>
    </xf>
    <xf numFmtId="170" fontId="21" fillId="0" borderId="38" xfId="0" applyNumberFormat="1" applyFont="1" applyFill="1" applyBorder="1" applyAlignment="1">
      <alignment horizontal="right" vertical="center"/>
    </xf>
    <xf numFmtId="197" fontId="21" fillId="0" borderId="33" xfId="0" applyNumberFormat="1" applyFont="1" applyFill="1" applyBorder="1" applyAlignment="1">
      <alignment horizontal="right" vertical="center"/>
    </xf>
    <xf numFmtId="197" fontId="21" fillId="0" borderId="0" xfId="0" applyNumberFormat="1" applyFont="1" applyFill="1" applyBorder="1" applyAlignment="1">
      <alignment horizontal="right" vertical="center"/>
    </xf>
    <xf numFmtId="197" fontId="21" fillId="0" borderId="29" xfId="0" applyNumberFormat="1" applyFont="1" applyFill="1" applyBorder="1" applyAlignment="1">
      <alignment horizontal="right" vertical="center"/>
    </xf>
    <xf numFmtId="170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2" fontId="21" fillId="0" borderId="29" xfId="0" applyNumberFormat="1" applyFont="1" applyFill="1" applyBorder="1" applyAlignment="1">
      <alignment horizontal="right" vertical="center"/>
    </xf>
    <xf numFmtId="172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0" fontId="82" fillId="0" borderId="31" xfId="0" applyNumberFormat="1" applyFont="1" applyFill="1" applyBorder="1" applyAlignment="1">
      <alignment horizontal="right" vertical="center"/>
    </xf>
    <xf numFmtId="171" fontId="82" fillId="0" borderId="33" xfId="0" applyNumberFormat="1" applyFont="1" applyFill="1" applyBorder="1" applyAlignment="1">
      <alignment horizontal="right" vertical="center"/>
    </xf>
    <xf numFmtId="171" fontId="82" fillId="0" borderId="31" xfId="0" applyNumberFormat="1" applyFont="1" applyFill="1" applyBorder="1" applyAlignment="1">
      <alignment horizontal="right" vertical="center"/>
    </xf>
    <xf numFmtId="170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170" fontId="9" fillId="16" borderId="31" xfId="0" applyNumberFormat="1" applyFont="1" applyFill="1" applyBorder="1" applyAlignment="1">
      <alignment horizontal="right" vertical="center"/>
    </xf>
    <xf numFmtId="171" fontId="10" fillId="16" borderId="31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0" fontId="21" fillId="0" borderId="40" xfId="0" applyNumberFormat="1" applyFont="1" applyFill="1" applyBorder="1" applyAlignment="1">
      <alignment horizontal="right" vertical="center"/>
    </xf>
    <xf numFmtId="170" fontId="10" fillId="0" borderId="40" xfId="0" applyNumberFormat="1" applyFont="1" applyFill="1" applyBorder="1" applyAlignment="1">
      <alignment horizontal="right" vertical="center"/>
    </xf>
    <xf numFmtId="170" fontId="21" fillId="16" borderId="33" xfId="0" applyNumberFormat="1" applyFont="1" applyFill="1" applyBorder="1" applyAlignment="1">
      <alignment horizontal="right" vertical="center"/>
    </xf>
    <xf numFmtId="170" fontId="21" fillId="16" borderId="30" xfId="0" applyNumberFormat="1" applyFont="1" applyFill="1" applyBorder="1" applyAlignment="1">
      <alignment horizontal="right" vertical="center"/>
    </xf>
    <xf numFmtId="170" fontId="21" fillId="16" borderId="3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170" fontId="0" fillId="16" borderId="3" xfId="248" applyNumberFormat="1" applyFont="1" applyFill="1" applyBorder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170" fontId="21" fillId="16" borderId="34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70" fontId="10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70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1" fontId="9" fillId="0" borderId="0" xfId="0" applyNumberFormat="1" applyFont="1" applyFill="1" applyBorder="1" applyAlignment="1">
      <alignment horizontal="right" vertical="center"/>
    </xf>
    <xf numFmtId="170" fontId="0" fillId="8" borderId="0" xfId="0" applyNumberFormat="1" applyFill="1" applyAlignment="1">
      <alignment/>
    </xf>
    <xf numFmtId="170" fontId="21" fillId="16" borderId="2" xfId="0" applyNumberFormat="1" applyFont="1" applyFill="1" applyBorder="1" applyAlignment="1">
      <alignment horizontal="right" vertical="center"/>
    </xf>
    <xf numFmtId="0" fontId="10" fillId="16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171" fontId="21" fillId="16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199" fontId="21" fillId="0" borderId="33" xfId="0" applyNumberFormat="1" applyFont="1" applyFill="1" applyBorder="1" applyAlignment="1">
      <alignment horizontal="right" vertical="center"/>
    </xf>
    <xf numFmtId="200" fontId="9" fillId="0" borderId="31" xfId="0" applyNumberFormat="1" applyFont="1" applyFill="1" applyBorder="1" applyAlignment="1">
      <alignment horizontal="right" vertical="center"/>
    </xf>
    <xf numFmtId="200" fontId="0" fillId="0" borderId="35" xfId="0" applyNumberFormat="1" applyFont="1" applyFill="1" applyBorder="1" applyAlignment="1" quotePrefix="1">
      <alignment horizontal="right" vertical="center"/>
    </xf>
    <xf numFmtId="200" fontId="0" fillId="0" borderId="33" xfId="0" applyNumberFormat="1" applyFont="1" applyFill="1" applyBorder="1" applyAlignment="1">
      <alignment horizontal="right" vertical="center"/>
    </xf>
    <xf numFmtId="200" fontId="0" fillId="16" borderId="33" xfId="0" applyNumberFormat="1" applyFont="1" applyFill="1" applyBorder="1" applyAlignment="1">
      <alignment horizontal="right" vertical="center"/>
    </xf>
    <xf numFmtId="200" fontId="0" fillId="0" borderId="2" xfId="0" applyNumberFormat="1" applyFont="1" applyFill="1" applyBorder="1" applyAlignment="1">
      <alignment horizontal="right" vertical="center"/>
    </xf>
    <xf numFmtId="200" fontId="82" fillId="0" borderId="2" xfId="0" applyNumberFormat="1" applyFont="1" applyFill="1" applyBorder="1" applyAlignment="1">
      <alignment horizontal="right" vertical="center"/>
    </xf>
    <xf numFmtId="200" fontId="82" fillId="16" borderId="2" xfId="0" applyNumberFormat="1" applyFont="1" applyFill="1" applyBorder="1" applyAlignment="1">
      <alignment horizontal="right" vertical="center"/>
    </xf>
    <xf numFmtId="200" fontId="0" fillId="0" borderId="35" xfId="0" applyNumberFormat="1" applyFont="1" applyFill="1" applyBorder="1" applyAlignment="1">
      <alignment horizontal="right" vertical="center"/>
    </xf>
    <xf numFmtId="200" fontId="82" fillId="0" borderId="33" xfId="0" applyNumberFormat="1" applyFont="1" applyFill="1" applyBorder="1" applyAlignment="1">
      <alignment horizontal="right" vertical="center"/>
    </xf>
    <xf numFmtId="200" fontId="10" fillId="0" borderId="33" xfId="0" applyNumberFormat="1" applyFont="1" applyFill="1" applyBorder="1" applyAlignment="1">
      <alignment horizontal="right" vertical="center"/>
    </xf>
    <xf numFmtId="200" fontId="10" fillId="0" borderId="2" xfId="0" applyNumberFormat="1" applyFont="1" applyFill="1" applyBorder="1" applyAlignment="1">
      <alignment horizontal="right" vertical="center"/>
    </xf>
    <xf numFmtId="200" fontId="9" fillId="0" borderId="1" xfId="0" applyNumberFormat="1" applyFont="1" applyFill="1" applyBorder="1" applyAlignment="1">
      <alignment horizontal="right" vertical="center"/>
    </xf>
    <xf numFmtId="200" fontId="9" fillId="0" borderId="0" xfId="0" applyNumberFormat="1" applyFont="1" applyFill="1" applyBorder="1" applyAlignment="1">
      <alignment horizontal="right" vertical="center"/>
    </xf>
    <xf numFmtId="200" fontId="9" fillId="16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0" fontId="0" fillId="16" borderId="2" xfId="0" applyNumberFormat="1" applyFont="1" applyFill="1" applyBorder="1" applyAlignment="1">
      <alignment horizontal="right" vertical="center"/>
    </xf>
    <xf numFmtId="200" fontId="82" fillId="0" borderId="35" xfId="0" applyNumberFormat="1" applyFont="1" applyFill="1" applyBorder="1" applyAlignment="1">
      <alignment horizontal="right" vertical="center"/>
    </xf>
    <xf numFmtId="200" fontId="10" fillId="0" borderId="38" xfId="0" applyNumberFormat="1" applyFont="1" applyFill="1" applyBorder="1" applyAlignment="1">
      <alignment horizontal="right" vertical="center"/>
    </xf>
    <xf numFmtId="200" fontId="0" fillId="16" borderId="3" xfId="0" applyNumberFormat="1" applyFont="1" applyFill="1" applyBorder="1" applyAlignment="1">
      <alignment horizontal="right" vertical="center"/>
    </xf>
    <xf numFmtId="200" fontId="82" fillId="16" borderId="3" xfId="0" applyNumberFormat="1" applyFont="1" applyFill="1" applyBorder="1" applyAlignment="1">
      <alignment horizontal="right" vertical="center"/>
    </xf>
    <xf numFmtId="200" fontId="0" fillId="0" borderId="31" xfId="0" applyNumberFormat="1" applyFont="1" applyFill="1" applyBorder="1" applyAlignment="1">
      <alignment horizontal="right" vertical="center"/>
    </xf>
    <xf numFmtId="200" fontId="82" fillId="0" borderId="31" xfId="0" applyNumberFormat="1" applyFont="1" applyFill="1" applyBorder="1" applyAlignment="1">
      <alignment horizontal="right" vertical="center"/>
    </xf>
    <xf numFmtId="200" fontId="10" fillId="0" borderId="0" xfId="0" applyNumberFormat="1" applyFont="1" applyFill="1" applyBorder="1" applyAlignment="1">
      <alignment horizontal="right" vertical="center"/>
    </xf>
    <xf numFmtId="200" fontId="21" fillId="0" borderId="29" xfId="0" applyNumberFormat="1" applyFont="1" applyFill="1" applyBorder="1" applyAlignment="1">
      <alignment horizontal="right" vertical="center"/>
    </xf>
    <xf numFmtId="200" fontId="10" fillId="0" borderId="29" xfId="0" applyNumberFormat="1" applyFont="1" applyFill="1" applyBorder="1" applyAlignment="1">
      <alignment horizontal="right" vertical="center"/>
    </xf>
    <xf numFmtId="200" fontId="21" fillId="0" borderId="30" xfId="0" applyNumberFormat="1" applyFont="1" applyFill="1" applyBorder="1" applyAlignment="1">
      <alignment horizontal="right" vertical="center"/>
    </xf>
    <xf numFmtId="200" fontId="10" fillId="0" borderId="30" xfId="0" applyNumberFormat="1" applyFont="1" applyFill="1" applyBorder="1" applyAlignment="1">
      <alignment horizontal="right" vertical="center"/>
    </xf>
    <xf numFmtId="200" fontId="21" fillId="0" borderId="0" xfId="0" applyNumberFormat="1" applyFont="1" applyFill="1" applyBorder="1" applyAlignment="1">
      <alignment horizontal="right" vertical="center"/>
    </xf>
    <xf numFmtId="200" fontId="10" fillId="0" borderId="35" xfId="0" applyNumberFormat="1" applyFont="1" applyFill="1" applyBorder="1" applyAlignment="1">
      <alignment horizontal="right" vertical="center"/>
    </xf>
    <xf numFmtId="200" fontId="10" fillId="16" borderId="2" xfId="0" applyNumberFormat="1" applyFont="1" applyFill="1" applyBorder="1" applyAlignment="1">
      <alignment horizontal="right" vertical="center"/>
    </xf>
    <xf numFmtId="200" fontId="81" fillId="0" borderId="31" xfId="0" applyNumberFormat="1" applyFont="1" applyFill="1" applyBorder="1" applyAlignment="1">
      <alignment horizontal="right" vertical="center"/>
    </xf>
    <xf numFmtId="200" fontId="4" fillId="0" borderId="31" xfId="0" applyNumberFormat="1" applyFont="1" applyFill="1" applyBorder="1" applyAlignment="1">
      <alignment horizontal="right" vertical="center"/>
    </xf>
    <xf numFmtId="200" fontId="21" fillId="0" borderId="2" xfId="0" applyNumberFormat="1" applyFont="1" applyFill="1" applyBorder="1" applyAlignment="1">
      <alignment horizontal="right" vertical="center"/>
    </xf>
    <xf numFmtId="200" fontId="83" fillId="0" borderId="31" xfId="0" applyNumberFormat="1" applyFont="1" applyFill="1" applyBorder="1" applyAlignment="1">
      <alignment horizontal="right" vertical="center"/>
    </xf>
    <xf numFmtId="200" fontId="21" fillId="0" borderId="33" xfId="0" applyNumberFormat="1" applyFont="1" applyFill="1" applyBorder="1" applyAlignment="1">
      <alignment horizontal="right" vertical="center"/>
    </xf>
    <xf numFmtId="200" fontId="0" fillId="16" borderId="3" xfId="248" applyNumberFormat="1" applyFont="1" applyFill="1" applyBorder="1">
      <alignment horizontal="right" vertical="center"/>
    </xf>
    <xf numFmtId="200" fontId="0" fillId="16" borderId="2" xfId="248" applyNumberFormat="1" applyFont="1" applyFill="1" applyBorder="1">
      <alignment horizontal="right" vertical="center"/>
    </xf>
    <xf numFmtId="199" fontId="82" fillId="0" borderId="38" xfId="0" applyNumberFormat="1" applyFont="1" applyFill="1" applyBorder="1" applyAlignment="1">
      <alignment horizontal="right" vertical="center"/>
    </xf>
    <xf numFmtId="199" fontId="10" fillId="0" borderId="41" xfId="0" applyNumberFormat="1" applyFont="1" applyFill="1" applyBorder="1" applyAlignment="1">
      <alignment horizontal="right" vertical="center"/>
    </xf>
    <xf numFmtId="199" fontId="21" fillId="0" borderId="39" xfId="0" applyNumberFormat="1" applyFont="1" applyFill="1" applyBorder="1" applyAlignment="1">
      <alignment horizontal="right" vertical="center"/>
    </xf>
    <xf numFmtId="199" fontId="82" fillId="0" borderId="39" xfId="0" applyNumberFormat="1" applyFont="1" applyFill="1" applyBorder="1" applyAlignment="1">
      <alignment horizontal="right" vertical="center"/>
    </xf>
    <xf numFmtId="199" fontId="21" fillId="0" borderId="40" xfId="0" applyNumberFormat="1" applyFont="1" applyFill="1" applyBorder="1" applyAlignment="1">
      <alignment horizontal="right" vertical="center"/>
    </xf>
    <xf numFmtId="199" fontId="82" fillId="0" borderId="40" xfId="0" applyNumberFormat="1" applyFont="1" applyFill="1" applyBorder="1" applyAlignment="1">
      <alignment horizontal="right" vertical="center"/>
    </xf>
    <xf numFmtId="199" fontId="10" fillId="0" borderId="2" xfId="0" applyNumberFormat="1" applyFont="1" applyFill="1" applyBorder="1" applyAlignment="1">
      <alignment horizontal="right" vertical="center"/>
    </xf>
    <xf numFmtId="199" fontId="9" fillId="0" borderId="31" xfId="0" applyNumberFormat="1" applyFont="1" applyFill="1" applyBorder="1" applyAlignment="1">
      <alignment horizontal="right" vertical="center"/>
    </xf>
    <xf numFmtId="199" fontId="10" fillId="0" borderId="35" xfId="0" applyNumberFormat="1" applyFont="1" applyFill="1" applyBorder="1" applyAlignment="1">
      <alignment horizontal="right" vertical="center"/>
    </xf>
    <xf numFmtId="199" fontId="10" fillId="0" borderId="31" xfId="0" applyNumberFormat="1" applyFont="1" applyFill="1" applyBorder="1" applyAlignment="1">
      <alignment horizontal="right" vertical="center"/>
    </xf>
    <xf numFmtId="199" fontId="21" fillId="0" borderId="3" xfId="0" applyNumberFormat="1" applyFont="1" applyFill="1" applyBorder="1" applyAlignment="1">
      <alignment horizontal="right" vertical="center"/>
    </xf>
    <xf numFmtId="199" fontId="10" fillId="0" borderId="3" xfId="0" applyNumberFormat="1" applyFont="1" applyFill="1" applyBorder="1" applyAlignment="1">
      <alignment horizontal="right" vertical="center"/>
    </xf>
    <xf numFmtId="199" fontId="21" fillId="0" borderId="30" xfId="0" applyNumberFormat="1" applyFont="1" applyFill="1" applyBorder="1" applyAlignment="1">
      <alignment horizontal="right" vertical="center"/>
    </xf>
    <xf numFmtId="199" fontId="10" fillId="0" borderId="30" xfId="0" applyNumberFormat="1" applyFont="1" applyFill="1" applyBorder="1" applyAlignment="1">
      <alignment horizontal="right" vertical="center"/>
    </xf>
    <xf numFmtId="199" fontId="21" fillId="0" borderId="34" xfId="0" applyNumberFormat="1" applyFont="1" applyFill="1" applyBorder="1" applyAlignment="1">
      <alignment horizontal="right" vertical="center"/>
    </xf>
    <xf numFmtId="199" fontId="10" fillId="0" borderId="34" xfId="0" applyNumberFormat="1" applyFont="1" applyFill="1" applyBorder="1" applyAlignment="1">
      <alignment horizontal="right" vertical="center"/>
    </xf>
    <xf numFmtId="199" fontId="0" fillId="0" borderId="35" xfId="0" applyNumberFormat="1" applyFont="1" applyFill="1" applyBorder="1" applyAlignment="1">
      <alignment horizontal="right" vertical="center"/>
    </xf>
    <xf numFmtId="199" fontId="83" fillId="0" borderId="31" xfId="0" applyNumberFormat="1" applyFont="1" applyFill="1" applyBorder="1" applyAlignment="1">
      <alignment horizontal="right" vertical="center"/>
    </xf>
    <xf numFmtId="199" fontId="10" fillId="0" borderId="33" xfId="0" applyNumberFormat="1" applyFont="1" applyFill="1" applyBorder="1" applyAlignment="1">
      <alignment horizontal="right" vertical="center"/>
    </xf>
    <xf numFmtId="199" fontId="10" fillId="16" borderId="35" xfId="0" applyNumberFormat="1" applyFont="1" applyFill="1" applyBorder="1" applyAlignment="1">
      <alignment horizontal="right" vertical="center"/>
    </xf>
    <xf numFmtId="199" fontId="10" fillId="16" borderId="31" xfId="0" applyNumberFormat="1" applyFont="1" applyFill="1" applyBorder="1" applyAlignment="1">
      <alignment horizontal="right" vertical="center"/>
    </xf>
    <xf numFmtId="200" fontId="10" fillId="16" borderId="38" xfId="0" applyNumberFormat="1" applyFont="1" applyFill="1" applyBorder="1" applyAlignment="1">
      <alignment horizontal="right" vertical="center"/>
    </xf>
    <xf numFmtId="200" fontId="0" fillId="16" borderId="35" xfId="0" applyNumberFormat="1" applyFont="1" applyFill="1" applyBorder="1" applyAlignment="1" quotePrefix="1">
      <alignment horizontal="right" vertical="center"/>
    </xf>
    <xf numFmtId="200" fontId="10" fillId="16" borderId="35" xfId="0" applyNumberFormat="1" applyFont="1" applyFill="1" applyBorder="1" applyAlignment="1" quotePrefix="1">
      <alignment horizontal="right" vertical="center"/>
    </xf>
    <xf numFmtId="200" fontId="10" fillId="16" borderId="33" xfId="0" applyNumberFormat="1" applyFont="1" applyFill="1" applyBorder="1" applyAlignment="1">
      <alignment horizontal="right" vertical="center"/>
    </xf>
    <xf numFmtId="199" fontId="0" fillId="16" borderId="38" xfId="0" applyNumberFormat="1" applyFont="1" applyFill="1" applyBorder="1" applyAlignment="1">
      <alignment horizontal="right" vertical="center"/>
    </xf>
    <xf numFmtId="199" fontId="10" fillId="16" borderId="41" xfId="0" applyNumberFormat="1" applyFont="1" applyFill="1" applyBorder="1" applyAlignment="1">
      <alignment horizontal="right" vertical="center"/>
    </xf>
    <xf numFmtId="199" fontId="21" fillId="16" borderId="3" xfId="0" applyNumberFormat="1" applyFont="1" applyFill="1" applyBorder="1" applyAlignment="1">
      <alignment horizontal="right" vertical="center"/>
    </xf>
    <xf numFmtId="199" fontId="21" fillId="16" borderId="30" xfId="0" applyNumberFormat="1" applyFont="1" applyFill="1" applyBorder="1" applyAlignment="1">
      <alignment horizontal="right" vertical="center"/>
    </xf>
    <xf numFmtId="199" fontId="21" fillId="16" borderId="2" xfId="0" applyNumberFormat="1" applyFont="1" applyFill="1" applyBorder="1" applyAlignment="1">
      <alignment horizontal="right" vertical="center"/>
    </xf>
    <xf numFmtId="199" fontId="0" fillId="16" borderId="35" xfId="0" applyNumberFormat="1" applyFont="1" applyFill="1" applyBorder="1" applyAlignment="1">
      <alignment horizontal="right" vertical="center"/>
    </xf>
    <xf numFmtId="199" fontId="9" fillId="16" borderId="1" xfId="0" applyNumberFormat="1" applyFont="1" applyFill="1" applyBorder="1" applyAlignment="1">
      <alignment horizontal="right" vertical="center"/>
    </xf>
    <xf numFmtId="199" fontId="10" fillId="16" borderId="3" xfId="0" applyNumberFormat="1" applyFont="1" applyFill="1" applyBorder="1" applyAlignment="1">
      <alignment horizontal="right" vertical="center"/>
    </xf>
    <xf numFmtId="199" fontId="10" fillId="16" borderId="30" xfId="0" applyNumberFormat="1" applyFont="1" applyFill="1" applyBorder="1" applyAlignment="1">
      <alignment horizontal="right" vertical="center"/>
    </xf>
    <xf numFmtId="199" fontId="10" fillId="16" borderId="2" xfId="0" applyNumberFormat="1" applyFont="1" applyFill="1" applyBorder="1" applyAlignment="1">
      <alignment horizontal="right" vertical="center"/>
    </xf>
    <xf numFmtId="199" fontId="82" fillId="16" borderId="38" xfId="0" applyNumberFormat="1" applyFont="1" applyFill="1" applyBorder="1" applyAlignment="1">
      <alignment horizontal="right" vertical="center"/>
    </xf>
    <xf numFmtId="199" fontId="82" fillId="16" borderId="35" xfId="0" applyNumberFormat="1" applyFont="1" applyFill="1" applyBorder="1" applyAlignment="1">
      <alignment horizontal="right" vertical="center"/>
    </xf>
    <xf numFmtId="199" fontId="21" fillId="16" borderId="34" xfId="0" applyNumberFormat="1" applyFont="1" applyFill="1" applyBorder="1" applyAlignment="1">
      <alignment horizontal="right" vertical="center"/>
    </xf>
    <xf numFmtId="199" fontId="10" fillId="16" borderId="34" xfId="0" applyNumberFormat="1" applyFont="1" applyFill="1" applyBorder="1" applyAlignment="1">
      <alignment horizontal="right" vertical="center"/>
    </xf>
    <xf numFmtId="199" fontId="21" fillId="16" borderId="38" xfId="0" applyNumberFormat="1" applyFont="1" applyFill="1" applyBorder="1" applyAlignment="1" quotePrefix="1">
      <alignment horizontal="right" vertical="center"/>
    </xf>
    <xf numFmtId="199" fontId="21" fillId="16" borderId="38" xfId="0" applyNumberFormat="1" applyFont="1" applyFill="1" applyBorder="1" applyAlignment="1">
      <alignment horizontal="right" vertical="center"/>
    </xf>
    <xf numFmtId="199" fontId="0" fillId="0" borderId="38" xfId="0" applyNumberFormat="1" applyFont="1" applyFill="1" applyBorder="1" applyAlignment="1">
      <alignment horizontal="right" vertical="center"/>
    </xf>
    <xf numFmtId="199" fontId="0" fillId="0" borderId="41" xfId="0" applyNumberFormat="1" applyFont="1" applyFill="1" applyBorder="1" applyAlignment="1">
      <alignment horizontal="right" vertical="center"/>
    </xf>
    <xf numFmtId="199" fontId="0" fillId="0" borderId="3" xfId="0" applyNumberFormat="1" applyFont="1" applyFill="1" applyBorder="1" applyAlignment="1">
      <alignment horizontal="right" vertical="center"/>
    </xf>
    <xf numFmtId="199" fontId="0" fillId="0" borderId="30" xfId="0" applyNumberFormat="1" applyFont="1" applyFill="1" applyBorder="1" applyAlignment="1">
      <alignment horizontal="right" vertical="center"/>
    </xf>
    <xf numFmtId="199" fontId="0" fillId="0" borderId="2" xfId="0" applyNumberFormat="1" applyFont="1" applyFill="1" applyBorder="1" applyAlignment="1">
      <alignment horizontal="right" vertical="center"/>
    </xf>
    <xf numFmtId="199" fontId="9" fillId="0" borderId="1" xfId="0" applyNumberFormat="1" applyFont="1" applyFill="1" applyBorder="1" applyAlignment="1">
      <alignment horizontal="right" vertical="center"/>
    </xf>
    <xf numFmtId="199" fontId="21" fillId="0" borderId="38" xfId="0" applyNumberFormat="1" applyFont="1" applyFill="1" applyBorder="1" applyAlignment="1" quotePrefix="1">
      <alignment horizontal="right" vertical="center"/>
    </xf>
    <xf numFmtId="199" fontId="21" fillId="0" borderId="2" xfId="0" applyNumberFormat="1" applyFont="1" applyFill="1" applyBorder="1" applyAlignment="1">
      <alignment horizontal="right" vertical="center"/>
    </xf>
    <xf numFmtId="199" fontId="0" fillId="16" borderId="3" xfId="0" applyNumberFormat="1" applyFont="1" applyFill="1" applyBorder="1" applyAlignment="1">
      <alignment horizontal="right" vertical="center"/>
    </xf>
    <xf numFmtId="199" fontId="0" fillId="16" borderId="34" xfId="0" applyNumberFormat="1" applyFont="1" applyFill="1" applyBorder="1" applyAlignment="1">
      <alignment horizontal="right" vertical="center"/>
    </xf>
    <xf numFmtId="200" fontId="10" fillId="0" borderId="31" xfId="0" applyNumberFormat="1" applyFont="1" applyFill="1" applyBorder="1" applyAlignment="1">
      <alignment horizontal="right" vertical="center"/>
    </xf>
    <xf numFmtId="197" fontId="10" fillId="0" borderId="42" xfId="0" applyNumberFormat="1" applyFont="1" applyFill="1" applyBorder="1" applyAlignment="1">
      <alignment horizontal="right" vertical="center"/>
    </xf>
    <xf numFmtId="197" fontId="10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197" fontId="0" fillId="0" borderId="42" xfId="0" applyNumberFormat="1" applyFont="1" applyFill="1" applyBorder="1" applyAlignment="1">
      <alignment horizontal="right" vertical="center"/>
    </xf>
    <xf numFmtId="197" fontId="0" fillId="0" borderId="40" xfId="0" applyNumberFormat="1" applyFont="1" applyFill="1" applyBorder="1" applyAlignment="1">
      <alignment horizontal="right" vertical="center"/>
    </xf>
    <xf numFmtId="200" fontId="4" fillId="16" borderId="31" xfId="0" applyNumberFormat="1" applyFont="1" applyFill="1" applyBorder="1" applyAlignment="1">
      <alignment horizontal="right" vertical="center"/>
    </xf>
    <xf numFmtId="200" fontId="83" fillId="16" borderId="31" xfId="0" applyNumberFormat="1" applyFont="1" applyFill="1" applyBorder="1" applyAlignment="1">
      <alignment horizontal="right" vertical="center"/>
    </xf>
    <xf numFmtId="193" fontId="21" fillId="16" borderId="0" xfId="225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170" fontId="10" fillId="16" borderId="35" xfId="0" applyNumberFormat="1" applyFont="1" applyFill="1" applyBorder="1" applyAlignment="1">
      <alignment horizontal="right" vertical="center"/>
    </xf>
    <xf numFmtId="170" fontId="21" fillId="16" borderId="35" xfId="0" applyNumberFormat="1" applyFont="1" applyFill="1" applyBorder="1" applyAlignment="1">
      <alignment horizontal="right" vertical="center"/>
    </xf>
    <xf numFmtId="170" fontId="21" fillId="16" borderId="0" xfId="0" applyNumberFormat="1" applyFont="1" applyFill="1" applyBorder="1" applyAlignment="1" quotePrefix="1">
      <alignment horizontal="right" vertical="center"/>
    </xf>
    <xf numFmtId="170" fontId="21" fillId="16" borderId="36" xfId="0" applyNumberFormat="1" applyFont="1" applyFill="1" applyBorder="1" applyAlignment="1">
      <alignment horizontal="right" vertical="center"/>
    </xf>
    <xf numFmtId="201" fontId="21" fillId="16" borderId="29" xfId="0" applyNumberFormat="1" applyFont="1" applyFill="1" applyBorder="1" applyAlignment="1">
      <alignment horizontal="right" vertical="center"/>
    </xf>
    <xf numFmtId="201" fontId="21" fillId="16" borderId="31" xfId="0" applyNumberFormat="1" applyFont="1" applyFill="1" applyBorder="1" applyAlignment="1">
      <alignment horizontal="right" vertical="center"/>
    </xf>
    <xf numFmtId="201" fontId="0" fillId="16" borderId="0" xfId="0" applyNumberFormat="1" applyFont="1" applyFill="1" applyBorder="1" applyAlignment="1">
      <alignment horizontal="right" vertical="center"/>
    </xf>
    <xf numFmtId="170" fontId="21" fillId="0" borderId="39" xfId="0" applyNumberFormat="1" applyFont="1" applyFill="1" applyBorder="1" applyAlignment="1">
      <alignment horizontal="right" vertical="center"/>
    </xf>
    <xf numFmtId="197" fontId="21" fillId="29" borderId="29" xfId="0" applyNumberFormat="1" applyFont="1" applyFill="1" applyBorder="1" applyAlignment="1">
      <alignment horizontal="right" vertical="center"/>
    </xf>
    <xf numFmtId="197" fontId="21" fillId="29" borderId="31" xfId="0" applyNumberFormat="1" applyFont="1" applyFill="1" applyBorder="1" applyAlignment="1">
      <alignment horizontal="right" vertical="center"/>
    </xf>
    <xf numFmtId="197" fontId="0" fillId="29" borderId="0" xfId="0" applyNumberFormat="1" applyFont="1" applyFill="1" applyBorder="1" applyAlignment="1">
      <alignment horizontal="right" vertical="center"/>
    </xf>
    <xf numFmtId="170" fontId="10" fillId="16" borderId="33" xfId="0" applyNumberFormat="1" applyFont="1" applyFill="1" applyBorder="1" applyAlignment="1">
      <alignment horizontal="right" vertical="center"/>
    </xf>
    <xf numFmtId="170" fontId="10" fillId="16" borderId="2" xfId="0" applyNumberFormat="1" applyFont="1" applyFill="1" applyBorder="1" applyAlignment="1">
      <alignment horizontal="right" vertical="center"/>
    </xf>
    <xf numFmtId="170" fontId="10" fillId="16" borderId="0" xfId="0" applyNumberFormat="1" applyFont="1" applyFill="1" applyBorder="1" applyAlignment="1" quotePrefix="1">
      <alignment horizontal="right" vertical="center"/>
    </xf>
    <xf numFmtId="170" fontId="10" fillId="16" borderId="34" xfId="0" applyNumberFormat="1" applyFont="1" applyFill="1" applyBorder="1" applyAlignment="1">
      <alignment horizontal="right" vertical="center"/>
    </xf>
    <xf numFmtId="170" fontId="10" fillId="16" borderId="36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0" fontId="10" fillId="0" borderId="43" xfId="0" applyNumberFormat="1" applyFont="1" applyFill="1" applyBorder="1" applyAlignment="1">
      <alignment horizontal="right" vertical="center"/>
    </xf>
    <xf numFmtId="170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199" fontId="0" fillId="0" borderId="31" xfId="0" applyNumberFormat="1" applyFont="1" applyFill="1" applyBorder="1" applyAlignment="1">
      <alignment horizontal="right" vertical="center"/>
    </xf>
    <xf numFmtId="200" fontId="9" fillId="0" borderId="2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199" fontId="82" fillId="0" borderId="35" xfId="0" applyNumberFormat="1" applyFont="1" applyFill="1" applyBorder="1" applyAlignment="1">
      <alignment horizontal="right" vertical="center"/>
    </xf>
    <xf numFmtId="199" fontId="21" fillId="0" borderId="38" xfId="0" applyNumberFormat="1" applyFont="1" applyFill="1" applyBorder="1" applyAlignment="1">
      <alignment horizontal="right" vertical="center"/>
    </xf>
    <xf numFmtId="199" fontId="0" fillId="0" borderId="34" xfId="0" applyNumberFormat="1" applyFont="1" applyFill="1" applyBorder="1" applyAlignment="1">
      <alignment horizontal="right" vertical="center"/>
    </xf>
    <xf numFmtId="200" fontId="10" fillId="0" borderId="35" xfId="0" applyNumberFormat="1" applyFont="1" applyFill="1" applyBorder="1" applyAlignment="1" quotePrefix="1">
      <alignment horizontal="right" vertical="center"/>
    </xf>
    <xf numFmtId="193" fontId="21" fillId="0" borderId="0" xfId="225" applyNumberFormat="1" applyFont="1" applyFill="1" applyBorder="1" applyAlignment="1">
      <alignment horizontal="right" vertical="center"/>
    </xf>
    <xf numFmtId="200" fontId="0" fillId="0" borderId="3" xfId="0" applyNumberFormat="1" applyFont="1" applyFill="1" applyBorder="1" applyAlignment="1">
      <alignment horizontal="right" vertical="center"/>
    </xf>
    <xf numFmtId="200" fontId="82" fillId="0" borderId="3" xfId="0" applyNumberFormat="1" applyFont="1" applyFill="1" applyBorder="1" applyAlignment="1">
      <alignment horizontal="right" vertical="center"/>
    </xf>
    <xf numFmtId="170" fontId="0" fillId="0" borderId="3" xfId="248" applyNumberFormat="1" applyFont="1" applyFill="1" applyBorder="1">
      <alignment horizontal="right" vertical="center"/>
    </xf>
    <xf numFmtId="200" fontId="0" fillId="0" borderId="3" xfId="248" applyNumberFormat="1" applyFont="1" applyFill="1" applyBorder="1">
      <alignment horizontal="right" vertical="center"/>
    </xf>
    <xf numFmtId="200" fontId="0" fillId="0" borderId="2" xfId="248" applyNumberFormat="1" applyFont="1" applyFill="1" applyBorder="1">
      <alignment horizontal="right" vertical="center"/>
    </xf>
    <xf numFmtId="200" fontId="0" fillId="0" borderId="30" xfId="0" applyNumberFormat="1" applyFont="1" applyFill="1" applyBorder="1" applyAlignment="1">
      <alignment horizontal="right" vertical="center"/>
    </xf>
    <xf numFmtId="200" fontId="82" fillId="0" borderId="30" xfId="0" applyNumberFormat="1" applyFont="1" applyFill="1" applyBorder="1" applyAlignment="1">
      <alignment horizontal="right" vertical="center"/>
    </xf>
    <xf numFmtId="200" fontId="0" fillId="16" borderId="30" xfId="248" applyNumberFormat="1" applyFont="1" applyFill="1" applyBorder="1">
      <alignment horizontal="right" vertical="center"/>
    </xf>
    <xf numFmtId="200" fontId="0" fillId="0" borderId="30" xfId="248" applyNumberFormat="1" applyFont="1" applyFill="1" applyBorder="1">
      <alignment horizontal="right" vertical="center"/>
    </xf>
    <xf numFmtId="200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0" fontId="93" fillId="0" borderId="31" xfId="0" applyNumberFormat="1" applyFont="1" applyFill="1" applyBorder="1" applyAlignment="1">
      <alignment horizontal="right" vertical="center"/>
    </xf>
    <xf numFmtId="170" fontId="81" fillId="0" borderId="0" xfId="0" applyNumberFormat="1" applyFont="1" applyFill="1" applyBorder="1" applyAlignment="1">
      <alignment horizontal="right" vertical="center"/>
    </xf>
    <xf numFmtId="170" fontId="0" fillId="1" borderId="38" xfId="0" applyNumberFormat="1" applyFont="1" applyFill="1" applyBorder="1" applyAlignment="1">
      <alignment horizontal="right" vertical="center"/>
    </xf>
    <xf numFmtId="170" fontId="0" fillId="1" borderId="39" xfId="0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0" fontId="0" fillId="1" borderId="44" xfId="0" applyNumberFormat="1" applyFont="1" applyFill="1" applyBorder="1" applyAlignment="1">
      <alignment horizontal="right" vertical="center"/>
    </xf>
    <xf numFmtId="170" fontId="0" fillId="0" borderId="44" xfId="0" applyNumberFormat="1" applyFont="1" applyFill="1" applyBorder="1" applyAlignment="1">
      <alignment horizontal="right" vertical="center"/>
    </xf>
    <xf numFmtId="170" fontId="0" fillId="1" borderId="35" xfId="0" applyNumberFormat="1" applyFont="1" applyFill="1" applyBorder="1" applyAlignment="1">
      <alignment horizontal="right" vertical="center"/>
    </xf>
    <xf numFmtId="170" fontId="0" fillId="1" borderId="41" xfId="0" applyNumberFormat="1" applyFont="1" applyFill="1" applyBorder="1" applyAlignment="1">
      <alignment horizontal="right" vertical="center"/>
    </xf>
    <xf numFmtId="170" fontId="0" fillId="0" borderId="41" xfId="0" applyNumberFormat="1" applyFont="1" applyFill="1" applyBorder="1" applyAlignment="1">
      <alignment horizontal="right" vertical="center"/>
    </xf>
    <xf numFmtId="170" fontId="0" fillId="1" borderId="31" xfId="0" applyNumberFormat="1" applyFont="1" applyFill="1" applyBorder="1" applyAlignment="1">
      <alignment horizontal="right" vertical="center"/>
    </xf>
    <xf numFmtId="0" fontId="8" fillId="16" borderId="37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0" fontId="21" fillId="1" borderId="33" xfId="0" applyNumberFormat="1" applyFont="1" applyFill="1" applyBorder="1" applyAlignment="1">
      <alignment horizontal="right" vertical="center"/>
    </xf>
    <xf numFmtId="170" fontId="21" fillId="1" borderId="0" xfId="0" applyNumberFormat="1" applyFont="1" applyFill="1" applyBorder="1" applyAlignment="1">
      <alignment horizontal="right" vertical="center"/>
    </xf>
    <xf numFmtId="170" fontId="21" fillId="1" borderId="30" xfId="0" applyNumberFormat="1" applyFont="1" applyFill="1" applyBorder="1" applyAlignment="1">
      <alignment horizontal="right" vertical="center"/>
    </xf>
    <xf numFmtId="170" fontId="21" fillId="1" borderId="34" xfId="0" applyNumberFormat="1" applyFont="1" applyFill="1" applyBorder="1" applyAlignment="1">
      <alignment horizontal="right" vertical="center"/>
    </xf>
    <xf numFmtId="170" fontId="9" fillId="29" borderId="31" xfId="0" applyNumberFormat="1" applyFont="1" applyFill="1" applyBorder="1" applyAlignment="1">
      <alignment horizontal="right" vertical="center"/>
    </xf>
    <xf numFmtId="170" fontId="21" fillId="1" borderId="3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71" fontId="10" fillId="1" borderId="35" xfId="0" applyNumberFormat="1" applyFont="1" applyFill="1" applyBorder="1" applyAlignment="1">
      <alignment horizontal="right" vertical="center"/>
    </xf>
    <xf numFmtId="171" fontId="21" fillId="1" borderId="3" xfId="0" applyNumberFormat="1" applyFont="1" applyFill="1" applyBorder="1" applyAlignment="1">
      <alignment horizontal="right" vertical="center"/>
    </xf>
    <xf numFmtId="171" fontId="10" fillId="1" borderId="3" xfId="0" applyNumberFormat="1" applyFont="1" applyFill="1" applyBorder="1" applyAlignment="1">
      <alignment horizontal="right" vertical="center"/>
    </xf>
    <xf numFmtId="171" fontId="21" fillId="1" borderId="30" xfId="0" applyNumberFormat="1" applyFont="1" applyFill="1" applyBorder="1" applyAlignment="1">
      <alignment horizontal="right" vertical="center"/>
    </xf>
    <xf numFmtId="171" fontId="10" fillId="1" borderId="30" xfId="0" applyNumberFormat="1" applyFont="1" applyFill="1" applyBorder="1" applyAlignment="1">
      <alignment horizontal="right" vertical="center"/>
    </xf>
    <xf numFmtId="171" fontId="21" fillId="0" borderId="30" xfId="0" applyNumberFormat="1" applyFont="1" applyFill="1" applyBorder="1" applyAlignment="1">
      <alignment horizontal="right" vertical="center"/>
    </xf>
    <xf numFmtId="171" fontId="1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71" fontId="21" fillId="1" borderId="0" xfId="0" applyNumberFormat="1" applyFont="1" applyFill="1" applyBorder="1" applyAlignment="1">
      <alignment horizontal="right" vertical="center"/>
    </xf>
    <xf numFmtId="171" fontId="10" fillId="1" borderId="0" xfId="0" applyNumberFormat="1" applyFont="1" applyFill="1" applyBorder="1" applyAlignment="1">
      <alignment horizontal="right" vertical="center"/>
    </xf>
    <xf numFmtId="171" fontId="21" fillId="1" borderId="35" xfId="0" applyNumberFormat="1" applyFont="1" applyFill="1" applyBorder="1" applyAlignment="1">
      <alignment horizontal="right" vertical="center"/>
    </xf>
    <xf numFmtId="171" fontId="21" fillId="0" borderId="35" xfId="0" applyNumberFormat="1" applyFont="1" applyFill="1" applyBorder="1" applyAlignment="1">
      <alignment horizontal="right" vertical="center"/>
    </xf>
    <xf numFmtId="171" fontId="21" fillId="29" borderId="34" xfId="0" applyNumberFormat="1" applyFont="1" applyFill="1" applyBorder="1" applyAlignment="1">
      <alignment horizontal="right" vertical="center"/>
    </xf>
    <xf numFmtId="171" fontId="10" fillId="1" borderId="34" xfId="0" applyNumberFormat="1" applyFont="1" applyFill="1" applyBorder="1" applyAlignment="1">
      <alignment horizontal="right" vertical="center"/>
    </xf>
    <xf numFmtId="171" fontId="21" fillId="16" borderId="34" xfId="0" applyNumberFormat="1" applyFont="1" applyFill="1" applyBorder="1" applyAlignment="1">
      <alignment horizontal="right" vertical="center"/>
    </xf>
    <xf numFmtId="171" fontId="10" fillId="0" borderId="34" xfId="0" applyNumberFormat="1" applyFont="1" applyFill="1" applyBorder="1" applyAlignment="1">
      <alignment horizontal="right" vertical="center"/>
    </xf>
    <xf numFmtId="171" fontId="83" fillId="1" borderId="31" xfId="0" applyNumberFormat="1" applyFont="1" applyFill="1" applyBorder="1" applyAlignment="1">
      <alignment horizontal="right" vertical="center"/>
    </xf>
    <xf numFmtId="171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30" borderId="33" xfId="0" applyNumberFormat="1" applyFont="1" applyFill="1" applyBorder="1" applyAlignment="1">
      <alignment horizontal="right" vertical="center"/>
    </xf>
    <xf numFmtId="0" fontId="10" fillId="30" borderId="33" xfId="0" applyNumberFormat="1" applyFont="1" applyFill="1" applyBorder="1" applyAlignment="1">
      <alignment horizontal="right" vertical="center"/>
    </xf>
    <xf numFmtId="173" fontId="0" fillId="30" borderId="30" xfId="0" applyNumberFormat="1" applyFont="1" applyFill="1" applyBorder="1" applyAlignment="1">
      <alignment horizontal="right" vertical="center"/>
    </xf>
    <xf numFmtId="173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30" borderId="30" xfId="0" applyNumberFormat="1" applyFont="1" applyFill="1" applyBorder="1" applyAlignment="1">
      <alignment horizontal="right" vertical="center"/>
    </xf>
    <xf numFmtId="0" fontId="10" fillId="30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73" fontId="10" fillId="30" borderId="30" xfId="0" applyNumberFormat="1" applyFont="1" applyFill="1" applyBorder="1" applyAlignment="1">
      <alignment horizontal="right" vertical="center"/>
    </xf>
    <xf numFmtId="173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73" fontId="0" fillId="30" borderId="34" xfId="0" applyNumberFormat="1" applyFont="1" applyFill="1" applyBorder="1" applyAlignment="1">
      <alignment horizontal="right" vertical="center"/>
    </xf>
    <xf numFmtId="173" fontId="10" fillId="30" borderId="34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173" fontId="10" fillId="0" borderId="34" xfId="0" applyNumberFormat="1" applyFont="1" applyFill="1" applyBorder="1" applyAlignment="1">
      <alignment horizontal="right" vertical="center"/>
    </xf>
    <xf numFmtId="0" fontId="83" fillId="30" borderId="31" xfId="0" applyNumberFormat="1" applyFont="1" applyFill="1" applyBorder="1" applyAlignment="1">
      <alignment horizontal="right" vertical="center"/>
    </xf>
    <xf numFmtId="173" fontId="83" fillId="30" borderId="31" xfId="0" applyNumberFormat="1" applyFont="1" applyFill="1" applyBorder="1" applyAlignment="1">
      <alignment horizontal="right" vertical="center"/>
    </xf>
    <xf numFmtId="173" fontId="83" fillId="0" borderId="31" xfId="0" applyNumberFormat="1" applyFont="1" applyFill="1" applyBorder="1" applyAlignment="1">
      <alignment horizontal="right" vertical="center"/>
    </xf>
    <xf numFmtId="171" fontId="10" fillId="0" borderId="35" xfId="0" applyNumberFormat="1" applyFont="1" applyFill="1" applyBorder="1" applyAlignment="1" quotePrefix="1">
      <alignment horizontal="right" vertical="center"/>
    </xf>
    <xf numFmtId="171" fontId="10" fillId="0" borderId="34" xfId="0" applyNumberFormat="1" applyFont="1" applyFill="1" applyBorder="1" applyAlignment="1" quotePrefix="1">
      <alignment horizontal="right" vertical="center"/>
    </xf>
    <xf numFmtId="198" fontId="0" fillId="16" borderId="3" xfId="248" applyNumberFormat="1" applyFont="1" applyFill="1" applyBorder="1">
      <alignment horizontal="right" vertical="center"/>
    </xf>
    <xf numFmtId="171" fontId="10" fillId="0" borderId="3" xfId="0" applyNumberFormat="1" applyFont="1" applyFill="1" applyBorder="1" applyAlignment="1" quotePrefix="1">
      <alignment horizontal="right" vertical="center"/>
    </xf>
    <xf numFmtId="198" fontId="0" fillId="0" borderId="3" xfId="248" applyNumberFormat="1" applyFont="1" applyFill="1" applyBorder="1">
      <alignment horizontal="right" vertical="center"/>
    </xf>
    <xf numFmtId="198" fontId="0" fillId="16" borderId="30" xfId="248" applyNumberFormat="1" applyFont="1" applyFill="1" applyBorder="1">
      <alignment horizontal="right" vertical="center"/>
    </xf>
    <xf numFmtId="198" fontId="0" fillId="0" borderId="30" xfId="248" applyNumberFormat="1" applyFont="1" applyFill="1" applyBorder="1">
      <alignment horizontal="right" vertical="center"/>
    </xf>
    <xf numFmtId="198" fontId="0" fillId="16" borderId="2" xfId="248" applyNumberFormat="1" applyFont="1" applyFill="1" applyBorder="1">
      <alignment horizontal="right" vertical="center"/>
    </xf>
    <xf numFmtId="198" fontId="0" fillId="0" borderId="2" xfId="248" applyNumberFormat="1" applyFont="1" applyFill="1" applyBorder="1">
      <alignment horizontal="right" vertical="center"/>
    </xf>
    <xf numFmtId="171" fontId="9" fillId="0" borderId="31" xfId="0" applyNumberFormat="1" applyFont="1" applyFill="1" applyBorder="1" applyAlignment="1">
      <alignment horizontal="right" vertical="center"/>
    </xf>
    <xf numFmtId="171" fontId="21" fillId="0" borderId="33" xfId="0" applyNumberFormat="1" applyFont="1" applyFill="1" applyBorder="1" applyAlignment="1" quotePrefix="1">
      <alignment horizontal="right" vertical="center"/>
    </xf>
    <xf numFmtId="171" fontId="0" fillId="0" borderId="33" xfId="0" applyNumberFormat="1" applyFont="1" applyFill="1" applyBorder="1" applyAlignment="1" quotePrefix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71" fontId="0" fillId="0" borderId="45" xfId="0" applyNumberFormat="1" applyFont="1" applyFill="1" applyBorder="1" applyAlignment="1">
      <alignment horizontal="right" vertical="center"/>
    </xf>
    <xf numFmtId="171" fontId="21" fillId="0" borderId="45" xfId="0" applyNumberFormat="1" applyFont="1" applyFill="1" applyBorder="1" applyAlignment="1">
      <alignment horizontal="right" vertical="center"/>
    </xf>
    <xf numFmtId="171" fontId="10" fillId="0" borderId="45" xfId="0" applyNumberFormat="1" applyFont="1" applyFill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171" fontId="21" fillId="0" borderId="4" xfId="0" applyNumberFormat="1" applyFont="1" applyFill="1" applyBorder="1" applyAlignment="1">
      <alignment horizontal="right" vertical="center"/>
    </xf>
    <xf numFmtId="170" fontId="10" fillId="0" borderId="44" xfId="0" applyNumberFormat="1" applyFont="1" applyFill="1" applyBorder="1" applyAlignment="1">
      <alignment horizontal="right" vertical="center"/>
    </xf>
    <xf numFmtId="199" fontId="0" fillId="0" borderId="32" xfId="0" applyNumberFormat="1" applyFont="1" applyFill="1" applyBorder="1" applyAlignment="1">
      <alignment vertical="center"/>
    </xf>
    <xf numFmtId="197" fontId="21" fillId="0" borderId="31" xfId="0" applyNumberFormat="1" applyFont="1" applyFill="1" applyBorder="1" applyAlignment="1">
      <alignment horizontal="right" vertical="center"/>
    </xf>
    <xf numFmtId="200" fontId="0" fillId="0" borderId="3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202" fontId="21" fillId="0" borderId="34" xfId="0" applyNumberFormat="1" applyFont="1" applyFill="1" applyBorder="1" applyAlignment="1">
      <alignment horizontal="right" vertical="center"/>
    </xf>
    <xf numFmtId="202" fontId="0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70" fontId="0" fillId="0" borderId="1" xfId="0" applyNumberFormat="1" applyFont="1" applyFill="1" applyBorder="1" applyAlignment="1">
      <alignment horizontal="right" vertical="center"/>
    </xf>
    <xf numFmtId="173" fontId="10" fillId="0" borderId="33" xfId="0" applyNumberFormat="1" applyFont="1" applyFill="1" applyBorder="1" applyAlignment="1">
      <alignment horizontal="right" vertical="center"/>
    </xf>
    <xf numFmtId="171" fontId="94" fillId="0" borderId="33" xfId="0" applyNumberFormat="1" applyFont="1" applyFill="1" applyBorder="1" applyAlignment="1">
      <alignment horizontal="right" vertical="center"/>
    </xf>
    <xf numFmtId="171" fontId="94" fillId="0" borderId="31" xfId="0" applyNumberFormat="1" applyFont="1" applyFill="1" applyBorder="1" applyAlignment="1">
      <alignment horizontal="right" vertical="center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</cellXfs>
  <cellStyles count="267">
    <cellStyle name="Normal" xfId="0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À " xfId="40"/>
    <cellStyle name="1 Blank" xfId="41"/>
    <cellStyle name="1 Header" xfId="42"/>
    <cellStyle name="1 Period 1" xfId="43"/>
    <cellStyle name="1 Period 2" xfId="44"/>
    <cellStyle name="1 Sub-header" xfId="45"/>
    <cellStyle name="2 Line - 1 Dotted" xfId="46"/>
    <cellStyle name="2 Line - 2 Thin" xfId="47"/>
    <cellStyle name="2 Line - 3 Medium" xfId="48"/>
    <cellStyle name="2 Line - 4 Thick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Akzent1" xfId="56"/>
    <cellStyle name="20% - Akzent2" xfId="57"/>
    <cellStyle name="20% - Akzent3" xfId="58"/>
    <cellStyle name="20% - Akzent4" xfId="59"/>
    <cellStyle name="20% - Akzent5" xfId="60"/>
    <cellStyle name="20% - Akz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Akzent1" xfId="68"/>
    <cellStyle name="40% - Akzent2" xfId="69"/>
    <cellStyle name="40% - Akzent3" xfId="70"/>
    <cellStyle name="40% - Akzent4" xfId="71"/>
    <cellStyle name="40% - Akzent5" xfId="72"/>
    <cellStyle name="40% - Akzent6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Akzent1" xfId="80"/>
    <cellStyle name="60% - Akzent2" xfId="81"/>
    <cellStyle name="60% - Akzent3" xfId="82"/>
    <cellStyle name="60% - Akzent4" xfId="83"/>
    <cellStyle name="60% - Akzent5" xfId="84"/>
    <cellStyle name="60% - Akzent6" xfId="85"/>
    <cellStyle name="9065.18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oter_graph" xfId="167"/>
    <cellStyle name="Footnote_SuperscriptNumber" xfId="168"/>
    <cellStyle name="fussnote_lauftext" xfId="169"/>
    <cellStyle name="G. Hofer" xfId="170"/>
    <cellStyle name="Good" xfId="171"/>
    <cellStyle name="Grey" xfId="172"/>
    <cellStyle name="Gut" xfId="173"/>
    <cellStyle name="header_0_col" xfId="174"/>
    <cellStyle name="Header1" xfId="175"/>
    <cellStyle name="Header2" xfId="176"/>
    <cellStyle name="heading" xfId="177"/>
    <cellStyle name="Heading 1" xfId="178"/>
    <cellStyle name="Heading 2" xfId="179"/>
    <cellStyle name="Heading 3" xfId="180"/>
    <cellStyle name="Heading 4" xfId="181"/>
    <cellStyle name="Input" xfId="182"/>
    <cellStyle name="Input [yellow]" xfId="183"/>
    <cellStyle name="IS Summary" xfId="184"/>
    <cellStyle name="KPMG Heading 1" xfId="185"/>
    <cellStyle name="KPMG Heading 2" xfId="186"/>
    <cellStyle name="KPMG Heading 3" xfId="187"/>
    <cellStyle name="KPMG Heading 4" xfId="188"/>
    <cellStyle name="KPMG Normal" xfId="189"/>
    <cellStyle name="KPMG Normal Text" xfId="190"/>
    <cellStyle name="Linked Cell" xfId="191"/>
    <cellStyle name="Loan Amount" xfId="192"/>
    <cellStyle name="Locked" xfId="193"/>
    <cellStyle name="MacroCode" xfId="194"/>
    <cellStyle name="Millares [0]_10 AVERIAS MASIVAS + ANT" xfId="195"/>
    <cellStyle name="Millares_10 AVERIAS MASIVAS + ANT" xfId="196"/>
    <cellStyle name="Milliers [0]_!!!GO" xfId="197"/>
    <cellStyle name="Milliers_!!!GO" xfId="198"/>
    <cellStyle name="Moneda [0]_10 AVERIAS MASIVAS + ANT" xfId="199"/>
    <cellStyle name="Moneda_10 AVERIAS MASIVAS + ANT" xfId="200"/>
    <cellStyle name="Monétaire [0]_!!!GO" xfId="201"/>
    <cellStyle name="Monétaire_!!!GO" xfId="202"/>
    <cellStyle name="Monetario" xfId="203"/>
    <cellStyle name="Multiple" xfId="204"/>
    <cellStyle name="Multiple [0]" xfId="205"/>
    <cellStyle name="Multiple [1]" xfId="206"/>
    <cellStyle name="Multiple_Book2" xfId="207"/>
    <cellStyle name="Neutral" xfId="208"/>
    <cellStyle name="new_section" xfId="209"/>
    <cellStyle name="no dec" xfId="210"/>
    <cellStyle name="Normal - Style1" xfId="211"/>
    <cellStyle name="NorV_x0002_Ã_x0012_ ìÀ _x0012_" xfId="212"/>
    <cellStyle name="Note" xfId="213"/>
    <cellStyle name="Notiz" xfId="214"/>
    <cellStyle name="nplosion" xfId="215"/>
    <cellStyle name="Number_no_line" xfId="216"/>
    <cellStyle name="nVision" xfId="217"/>
    <cellStyle name="Œ…‹æØ‚è [0.00]_Region Orders (2)" xfId="218"/>
    <cellStyle name="Œ…‹æØ‚è_Region Orders (2)" xfId="219"/>
    <cellStyle name="Output" xfId="220"/>
    <cellStyle name="Page Heading" xfId="221"/>
    <cellStyle name="Page Heading Large" xfId="222"/>
    <cellStyle name="Page Heading Small" xfId="223"/>
    <cellStyle name="per.style" xfId="224"/>
    <cellStyle name="Percent" xfId="225"/>
    <cellStyle name="Percent (0)" xfId="226"/>
    <cellStyle name="Percent (LTV, DSC)" xfId="227"/>
    <cellStyle name="Percent [0]" xfId="228"/>
    <cellStyle name="Percent [1]" xfId="229"/>
    <cellStyle name="Percent [2]" xfId="230"/>
    <cellStyle name="Percent Hard" xfId="231"/>
    <cellStyle name="Pool/Single" xfId="232"/>
    <cellStyle name="Porcentaje" xfId="233"/>
    <cellStyle name="pricing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R01A" xfId="241"/>
    <cellStyle name="R01B" xfId="242"/>
    <cellStyle name="R02A" xfId="243"/>
    <cellStyle name="Red Text" xfId="244"/>
    <cellStyle name="RevList" xfId="245"/>
    <cellStyle name="RM" xfId="246"/>
    <cellStyle name="row_bold_line" xfId="247"/>
    <cellStyle name="Row_Number" xfId="248"/>
    <cellStyle name="Schlecht" xfId="249"/>
    <cellStyle name="Shaded" xfId="250"/>
    <cellStyle name="Size" xfId="251"/>
    <cellStyle name="Source" xfId="252"/>
    <cellStyle name="Status" xfId="253"/>
    <cellStyle name="Stil 1" xfId="254"/>
    <cellStyle name="Subtotal" xfId="255"/>
    <cellStyle name="superscript" xfId="256"/>
    <cellStyle name="Tabellentext" xfId="257"/>
    <cellStyle name="Table Col Head" xfId="258"/>
    <cellStyle name="Table Sub Head" xfId="259"/>
    <cellStyle name="Table Title" xfId="260"/>
    <cellStyle name="Table Units" xfId="261"/>
    <cellStyle name="table_body_text" xfId="262"/>
    <cellStyle name="Term" xfId="263"/>
    <cellStyle name="Text_no_line" xfId="264"/>
    <cellStyle name="Tickmark" xfId="265"/>
    <cellStyle name="Title" xfId="266"/>
    <cellStyle name="TopGrey" xfId="267"/>
    <cellStyle name="Total" xfId="268"/>
    <cellStyle name="Überschrift" xfId="269"/>
    <cellStyle name="Überschrift 1" xfId="270"/>
    <cellStyle name="Überschrift 2" xfId="271"/>
    <cellStyle name="Überschrift 3" xfId="272"/>
    <cellStyle name="Überschrift 4" xfId="273"/>
    <cellStyle name="Undefiniert" xfId="274"/>
    <cellStyle name="Verknüpfte Zelle" xfId="275"/>
    <cellStyle name="Warnender Text" xfId="276"/>
    <cellStyle name="Warning Text" xfId="277"/>
    <cellStyle name="Year" xfId="278"/>
    <cellStyle name="Zelle überprüfen" xfId="279"/>
    <cellStyle name="標準_Book4" xfId="280"/>
  </cellStyles>
  <dxfs count="8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showGridLines="0" tabSelected="1" zoomScale="80" zoomScaleNormal="80" zoomScalePageLayoutView="0" workbookViewId="0" topLeftCell="A1">
      <pane xSplit="2" ySplit="2" topLeftCell="L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L3" sqref="L3"/>
    </sheetView>
  </sheetViews>
  <sheetFormatPr defaultColWidth="1.7109375" defaultRowHeight="17.25" customHeight="1" outlineLevelRow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7" width="11.57421875" style="1" customWidth="1"/>
    <col min="28" max="16384" width="1.7109375" style="1" customWidth="1"/>
  </cols>
  <sheetData>
    <row r="1" spans="1:27" ht="21.75" customHeight="1">
      <c r="A1" s="2"/>
      <c r="B1" s="421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7.25" customHeight="1">
      <c r="A6" s="7"/>
      <c r="B6" s="13" t="s">
        <v>113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7.25" customHeight="1">
      <c r="A7" s="7"/>
      <c r="B7" s="14" t="s">
        <v>10</v>
      </c>
      <c r="C7" s="117">
        <v>2088</v>
      </c>
      <c r="D7" s="117">
        <v>2246</v>
      </c>
      <c r="E7" s="117">
        <v>1955</v>
      </c>
      <c r="F7" s="117">
        <v>2153</v>
      </c>
      <c r="G7" s="54">
        <f>SUM(C7:F7)</f>
        <v>8442</v>
      </c>
      <c r="H7" s="117">
        <v>2102</v>
      </c>
      <c r="I7" s="117">
        <v>1858</v>
      </c>
      <c r="J7" s="117">
        <v>1920</v>
      </c>
      <c r="K7" s="117">
        <v>2656</v>
      </c>
      <c r="L7" s="96">
        <f>SUM(H7:K7)</f>
        <v>8536</v>
      </c>
      <c r="M7" s="117">
        <v>2038</v>
      </c>
      <c r="N7" s="117">
        <v>1220</v>
      </c>
      <c r="O7" s="117">
        <v>1719</v>
      </c>
      <c r="P7" s="117">
        <v>1914</v>
      </c>
      <c r="Q7" s="96">
        <f>SUM(M7:P7)</f>
        <v>6891</v>
      </c>
      <c r="R7" s="117">
        <v>1947</v>
      </c>
      <c r="S7" s="117">
        <v>1202</v>
      </c>
      <c r="T7" s="117">
        <v>1716</v>
      </c>
      <c r="U7" s="117">
        <v>1676</v>
      </c>
      <c r="V7" s="96">
        <f>SUM(R7:U7)</f>
        <v>6541</v>
      </c>
      <c r="W7" s="117">
        <v>1753</v>
      </c>
      <c r="X7" s="117">
        <v>1377</v>
      </c>
      <c r="Y7" s="117">
        <v>1646</v>
      </c>
      <c r="Z7" s="117">
        <v>1657</v>
      </c>
      <c r="AA7" s="96">
        <f aca="true" t="shared" si="0" ref="AA7:AA28">SUM(W7:Z7)</f>
        <v>6433</v>
      </c>
    </row>
    <row r="8" spans="1:27" s="20" customFormat="1" ht="17.25" customHeight="1">
      <c r="A8" s="7"/>
      <c r="B8" s="17" t="s">
        <v>11</v>
      </c>
      <c r="C8" s="118">
        <v>4852</v>
      </c>
      <c r="D8" s="118">
        <v>5133</v>
      </c>
      <c r="E8" s="118">
        <v>4163</v>
      </c>
      <c r="F8" s="118">
        <v>4781</v>
      </c>
      <c r="G8" s="55">
        <f aca="true" t="shared" si="1" ref="G8:G15">SUM(C8:F8)</f>
        <v>18929</v>
      </c>
      <c r="H8" s="118">
        <v>3844</v>
      </c>
      <c r="I8" s="118">
        <v>4114</v>
      </c>
      <c r="J8" s="118">
        <v>3673</v>
      </c>
      <c r="K8" s="118">
        <v>3181</v>
      </c>
      <c r="L8" s="55">
        <f aca="true" t="shared" si="2" ref="L8:L23">SUM(H8:K8)</f>
        <v>14812</v>
      </c>
      <c r="M8" s="118">
        <v>2953</v>
      </c>
      <c r="N8" s="118">
        <v>3542</v>
      </c>
      <c r="O8" s="118">
        <v>3313</v>
      </c>
      <c r="P8" s="118">
        <v>3942</v>
      </c>
      <c r="Q8" s="55">
        <f aca="true" t="shared" si="3" ref="Q8:Q28">SUM(M8:P8)</f>
        <v>13750</v>
      </c>
      <c r="R8" s="118">
        <v>3407</v>
      </c>
      <c r="S8" s="118">
        <v>3586</v>
      </c>
      <c r="T8" s="118">
        <v>3258</v>
      </c>
      <c r="U8" s="118">
        <v>3827</v>
      </c>
      <c r="V8" s="55">
        <f>SUM(R8:U8)</f>
        <v>14078</v>
      </c>
      <c r="W8" s="118">
        <v>3671</v>
      </c>
      <c r="X8" s="118">
        <v>3463</v>
      </c>
      <c r="Y8" s="118">
        <v>3061</v>
      </c>
      <c r="Z8" s="118">
        <v>2757</v>
      </c>
      <c r="AA8" s="55">
        <f t="shared" si="0"/>
        <v>12952</v>
      </c>
    </row>
    <row r="9" spans="1:27" s="20" customFormat="1" ht="17.25" customHeight="1">
      <c r="A9" s="7"/>
      <c r="B9" s="17" t="s">
        <v>12</v>
      </c>
      <c r="C9" s="118">
        <v>3215</v>
      </c>
      <c r="D9" s="118">
        <v>3811</v>
      </c>
      <c r="E9" s="118">
        <v>-159</v>
      </c>
      <c r="F9" s="118">
        <v>-721</v>
      </c>
      <c r="G9" s="55">
        <f t="shared" si="1"/>
        <v>6146</v>
      </c>
      <c r="H9" s="118">
        <v>-1777</v>
      </c>
      <c r="I9" s="118">
        <v>899</v>
      </c>
      <c r="J9" s="118">
        <v>-2266</v>
      </c>
      <c r="K9" s="118">
        <v>-6736</v>
      </c>
      <c r="L9" s="55">
        <f t="shared" si="2"/>
        <v>-9880</v>
      </c>
      <c r="M9" s="118">
        <v>4897</v>
      </c>
      <c r="N9" s="118">
        <v>3217</v>
      </c>
      <c r="O9" s="118">
        <v>3489</v>
      </c>
      <c r="P9" s="118">
        <v>548</v>
      </c>
      <c r="Q9" s="55">
        <f t="shared" si="3"/>
        <v>12151</v>
      </c>
      <c r="R9" s="118">
        <v>3452</v>
      </c>
      <c r="S9" s="118">
        <v>3628</v>
      </c>
      <c r="T9" s="118">
        <v>943</v>
      </c>
      <c r="U9" s="118">
        <v>1315</v>
      </c>
      <c r="V9" s="55">
        <f aca="true" t="shared" si="4" ref="V9:V28">SUM(R9:U9)</f>
        <v>9338</v>
      </c>
      <c r="W9" s="118">
        <v>2011</v>
      </c>
      <c r="X9" s="118">
        <v>1116</v>
      </c>
      <c r="Y9" s="118">
        <v>1920</v>
      </c>
      <c r="Z9" s="118">
        <v>-27</v>
      </c>
      <c r="AA9" s="55">
        <f t="shared" si="0"/>
        <v>5020</v>
      </c>
    </row>
    <row r="10" spans="1:27" s="20" customFormat="1" ht="17.25" customHeight="1">
      <c r="A10" s="7"/>
      <c r="B10" s="21" t="s">
        <v>13</v>
      </c>
      <c r="C10" s="119">
        <v>1338</v>
      </c>
      <c r="D10" s="119">
        <v>1735</v>
      </c>
      <c r="E10" s="119">
        <v>811</v>
      </c>
      <c r="F10" s="119">
        <v>1920</v>
      </c>
      <c r="G10" s="53">
        <f t="shared" si="1"/>
        <v>5804</v>
      </c>
      <c r="H10" s="119">
        <v>-1167</v>
      </c>
      <c r="I10" s="119">
        <v>1179</v>
      </c>
      <c r="J10" s="119">
        <v>-643</v>
      </c>
      <c r="K10" s="119">
        <v>-3569</v>
      </c>
      <c r="L10" s="53">
        <f t="shared" si="2"/>
        <v>-4200</v>
      </c>
      <c r="M10" s="119">
        <v>-1782</v>
      </c>
      <c r="N10" s="119">
        <v>624</v>
      </c>
      <c r="O10" s="119">
        <v>1349</v>
      </c>
      <c r="P10" s="119">
        <v>311</v>
      </c>
      <c r="Q10" s="53">
        <f t="shared" si="3"/>
        <v>502</v>
      </c>
      <c r="R10" s="119">
        <v>207</v>
      </c>
      <c r="S10" s="119">
        <v>123</v>
      </c>
      <c r="T10" s="119">
        <v>649</v>
      </c>
      <c r="U10" s="119">
        <v>450</v>
      </c>
      <c r="V10" s="53">
        <f t="shared" si="4"/>
        <v>1429</v>
      </c>
      <c r="W10" s="119">
        <v>721</v>
      </c>
      <c r="X10" s="119">
        <v>936</v>
      </c>
      <c r="Y10" s="119">
        <v>62</v>
      </c>
      <c r="Z10" s="119">
        <v>101</v>
      </c>
      <c r="AA10" s="53">
        <f t="shared" si="0"/>
        <v>1820</v>
      </c>
    </row>
    <row r="11" spans="1:27" ht="17.25" customHeight="1" thickBot="1">
      <c r="A11" s="7"/>
      <c r="B11" s="23" t="s">
        <v>14</v>
      </c>
      <c r="C11" s="47">
        <f>SUM(C7:C10)</f>
        <v>11493</v>
      </c>
      <c r="D11" s="47">
        <f>SUM(D7:D10)</f>
        <v>12925</v>
      </c>
      <c r="E11" s="47">
        <f>SUM(E7:E10)</f>
        <v>6770</v>
      </c>
      <c r="F11" s="47">
        <f>SUM(F7:F10)</f>
        <v>8133</v>
      </c>
      <c r="G11" s="47">
        <f t="shared" si="1"/>
        <v>39321</v>
      </c>
      <c r="H11" s="47">
        <f>SUM(H7:H10)</f>
        <v>3002</v>
      </c>
      <c r="I11" s="47">
        <f>SUM(I7:I10)</f>
        <v>8050</v>
      </c>
      <c r="J11" s="47">
        <f>SUM(J7:J10)</f>
        <v>2684</v>
      </c>
      <c r="K11" s="47">
        <f>SUM(K7:K10)</f>
        <v>-4468</v>
      </c>
      <c r="L11" s="47">
        <f t="shared" si="2"/>
        <v>9268</v>
      </c>
      <c r="M11" s="47">
        <f>SUM(M7:M10)</f>
        <v>8106</v>
      </c>
      <c r="N11" s="47">
        <f>SUM(N7:N10)</f>
        <v>8603</v>
      </c>
      <c r="O11" s="47">
        <f>SUM(O7:O10)</f>
        <v>9870</v>
      </c>
      <c r="P11" s="47">
        <f>SUM(P7:P10)</f>
        <v>6715</v>
      </c>
      <c r="Q11" s="47">
        <f t="shared" si="3"/>
        <v>33294</v>
      </c>
      <c r="R11" s="47">
        <f>SUM(R7:R10)</f>
        <v>9013</v>
      </c>
      <c r="S11" s="47">
        <f>SUM(S7:S10)</f>
        <v>8539</v>
      </c>
      <c r="T11" s="47">
        <f>SUM(T7:T10)</f>
        <v>6566</v>
      </c>
      <c r="U11" s="47">
        <f>SUM(U7:U10)</f>
        <v>7268</v>
      </c>
      <c r="V11" s="47">
        <f t="shared" si="4"/>
        <v>31386</v>
      </c>
      <c r="W11" s="47">
        <f>SUM(W7:W10)</f>
        <v>8156</v>
      </c>
      <c r="X11" s="47">
        <f>SUM(X7:X10)</f>
        <v>6892</v>
      </c>
      <c r="Y11" s="47">
        <f>SUM(Y7:Y10)</f>
        <v>6689</v>
      </c>
      <c r="Z11" s="47">
        <f>SUM(Z7:Z10)</f>
        <v>4488</v>
      </c>
      <c r="AA11" s="47">
        <f t="shared" si="0"/>
        <v>26225</v>
      </c>
    </row>
    <row r="12" spans="1:27" ht="17.25" customHeight="1" thickBot="1">
      <c r="A12" s="7"/>
      <c r="B12" s="25" t="s">
        <v>15</v>
      </c>
      <c r="C12" s="121">
        <v>53</v>
      </c>
      <c r="D12" s="121">
        <v>-20</v>
      </c>
      <c r="E12" s="121">
        <v>4</v>
      </c>
      <c r="F12" s="121">
        <v>203</v>
      </c>
      <c r="G12" s="48">
        <f t="shared" si="1"/>
        <v>240</v>
      </c>
      <c r="H12" s="121">
        <v>151</v>
      </c>
      <c r="I12" s="121">
        <v>45</v>
      </c>
      <c r="J12" s="121">
        <v>131</v>
      </c>
      <c r="K12" s="121">
        <v>486</v>
      </c>
      <c r="L12" s="48">
        <f t="shared" si="2"/>
        <v>813</v>
      </c>
      <c r="M12" s="121">
        <v>183</v>
      </c>
      <c r="N12" s="121">
        <v>310</v>
      </c>
      <c r="O12" s="121">
        <v>53</v>
      </c>
      <c r="P12" s="121">
        <v>-40</v>
      </c>
      <c r="Q12" s="48">
        <f t="shared" si="3"/>
        <v>506</v>
      </c>
      <c r="R12" s="121">
        <v>-50</v>
      </c>
      <c r="S12" s="121">
        <v>20</v>
      </c>
      <c r="T12" s="121">
        <v>-26</v>
      </c>
      <c r="U12" s="121">
        <v>-23</v>
      </c>
      <c r="V12" s="48">
        <f>SUM(R12:U12)</f>
        <v>-79</v>
      </c>
      <c r="W12" s="121">
        <v>-7</v>
      </c>
      <c r="X12" s="121">
        <v>13</v>
      </c>
      <c r="Y12" s="121">
        <v>84</v>
      </c>
      <c r="Z12" s="121">
        <v>97</v>
      </c>
      <c r="AA12" s="48">
        <f t="shared" si="0"/>
        <v>187</v>
      </c>
    </row>
    <row r="13" spans="1:27" ht="17.25" customHeight="1">
      <c r="A13" s="7"/>
      <c r="B13" s="21" t="s">
        <v>16</v>
      </c>
      <c r="C13" s="122">
        <v>4921</v>
      </c>
      <c r="D13" s="122">
        <v>5380</v>
      </c>
      <c r="E13" s="122">
        <v>2361</v>
      </c>
      <c r="F13" s="122">
        <v>3436</v>
      </c>
      <c r="G13" s="49">
        <f t="shared" si="1"/>
        <v>16098</v>
      </c>
      <c r="H13" s="122">
        <v>3232</v>
      </c>
      <c r="I13" s="122">
        <v>4044</v>
      </c>
      <c r="J13" s="122">
        <v>2951</v>
      </c>
      <c r="K13" s="122">
        <v>3027</v>
      </c>
      <c r="L13" s="49">
        <f t="shared" si="2"/>
        <v>13254</v>
      </c>
      <c r="M13" s="122">
        <v>4340</v>
      </c>
      <c r="N13" s="122">
        <v>4365</v>
      </c>
      <c r="O13" s="122">
        <v>3841</v>
      </c>
      <c r="P13" s="122">
        <v>2467</v>
      </c>
      <c r="Q13" s="49">
        <f t="shared" si="3"/>
        <v>15013</v>
      </c>
      <c r="R13" s="122">
        <v>3893</v>
      </c>
      <c r="S13" s="122">
        <v>3980</v>
      </c>
      <c r="T13" s="122">
        <v>3355</v>
      </c>
      <c r="U13" s="122">
        <v>3371</v>
      </c>
      <c r="V13" s="49">
        <f t="shared" si="4"/>
        <v>14599</v>
      </c>
      <c r="W13" s="122">
        <v>4029</v>
      </c>
      <c r="X13" s="122">
        <v>3096</v>
      </c>
      <c r="Y13" s="122">
        <v>3067</v>
      </c>
      <c r="Z13" s="122">
        <v>3021</v>
      </c>
      <c r="AA13" s="49">
        <f t="shared" si="0"/>
        <v>13213</v>
      </c>
    </row>
    <row r="14" spans="1:27" s="20" customFormat="1" ht="17.25" customHeight="1">
      <c r="A14" s="7"/>
      <c r="B14" s="111" t="s">
        <v>17</v>
      </c>
      <c r="C14" s="137">
        <v>1511</v>
      </c>
      <c r="D14" s="137">
        <v>1593</v>
      </c>
      <c r="E14" s="137">
        <v>1715</v>
      </c>
      <c r="F14" s="137">
        <v>2014</v>
      </c>
      <c r="G14" s="112">
        <f t="shared" si="1"/>
        <v>6833</v>
      </c>
      <c r="H14" s="137">
        <v>1569</v>
      </c>
      <c r="I14" s="137">
        <v>1537</v>
      </c>
      <c r="J14" s="137">
        <v>1930</v>
      </c>
      <c r="K14" s="137">
        <v>2773</v>
      </c>
      <c r="L14" s="112">
        <f t="shared" si="2"/>
        <v>7809</v>
      </c>
      <c r="M14" s="137">
        <v>1549</v>
      </c>
      <c r="N14" s="137">
        <v>1919</v>
      </c>
      <c r="O14" s="137">
        <v>1935</v>
      </c>
      <c r="P14" s="137">
        <v>2298</v>
      </c>
      <c r="Q14" s="112">
        <f t="shared" si="3"/>
        <v>7701</v>
      </c>
      <c r="R14" s="137">
        <v>1675</v>
      </c>
      <c r="S14" s="137">
        <v>2061</v>
      </c>
      <c r="T14" s="137">
        <v>1752</v>
      </c>
      <c r="U14" s="137">
        <v>1743</v>
      </c>
      <c r="V14" s="112">
        <f t="shared" si="4"/>
        <v>7231</v>
      </c>
      <c r="W14" s="137">
        <v>1632</v>
      </c>
      <c r="X14" s="137">
        <v>1652</v>
      </c>
      <c r="Y14" s="137">
        <v>2209</v>
      </c>
      <c r="Z14" s="137">
        <v>1879</v>
      </c>
      <c r="AA14" s="112">
        <f t="shared" si="0"/>
        <v>7372</v>
      </c>
    </row>
    <row r="15" spans="1:27" ht="17.25" customHeight="1">
      <c r="A15" s="7"/>
      <c r="B15" s="159" t="s">
        <v>18</v>
      </c>
      <c r="C15" s="160">
        <v>560</v>
      </c>
      <c r="D15" s="160">
        <v>585</v>
      </c>
      <c r="E15" s="160">
        <v>620</v>
      </c>
      <c r="F15" s="160">
        <v>645</v>
      </c>
      <c r="G15" s="161">
        <f t="shared" si="1"/>
        <v>2410</v>
      </c>
      <c r="H15" s="160">
        <v>588</v>
      </c>
      <c r="I15" s="160">
        <v>575</v>
      </c>
      <c r="J15" s="160">
        <v>538</v>
      </c>
      <c r="K15" s="160">
        <v>593</v>
      </c>
      <c r="L15" s="161">
        <f t="shared" si="2"/>
        <v>2294</v>
      </c>
      <c r="M15" s="160">
        <v>467</v>
      </c>
      <c r="N15" s="160">
        <v>502</v>
      </c>
      <c r="O15" s="160">
        <v>498</v>
      </c>
      <c r="P15" s="160">
        <v>530</v>
      </c>
      <c r="Q15" s="161">
        <f t="shared" si="3"/>
        <v>1997</v>
      </c>
      <c r="R15" s="160">
        <v>520</v>
      </c>
      <c r="S15" s="160">
        <v>569</v>
      </c>
      <c r="T15" s="160">
        <v>484</v>
      </c>
      <c r="U15" s="160">
        <v>575</v>
      </c>
      <c r="V15" s="161">
        <f t="shared" si="4"/>
        <v>2148</v>
      </c>
      <c r="W15" s="160">
        <v>536</v>
      </c>
      <c r="X15" s="160">
        <v>491</v>
      </c>
      <c r="Y15" s="160">
        <v>485</v>
      </c>
      <c r="Z15" s="160">
        <v>480</v>
      </c>
      <c r="AA15" s="161">
        <f t="shared" si="0"/>
        <v>1992</v>
      </c>
    </row>
    <row r="16" spans="1:27" s="20" customFormat="1" ht="17.25" customHeight="1">
      <c r="A16" s="7"/>
      <c r="B16" s="21" t="s">
        <v>19</v>
      </c>
      <c r="C16" s="53">
        <f>+C14+C15</f>
        <v>2071</v>
      </c>
      <c r="D16" s="53">
        <f>+D14+D15</f>
        <v>2178</v>
      </c>
      <c r="E16" s="53">
        <f>+E14+E15</f>
        <v>2335</v>
      </c>
      <c r="F16" s="53">
        <f>+F14+F15</f>
        <v>2659</v>
      </c>
      <c r="G16" s="53">
        <f aca="true" t="shared" si="5" ref="G16:G23">SUM(C16:F16)</f>
        <v>9243</v>
      </c>
      <c r="H16" s="53">
        <f>+H14+H15</f>
        <v>2157</v>
      </c>
      <c r="I16" s="53">
        <f>+I14+I15</f>
        <v>2112</v>
      </c>
      <c r="J16" s="53">
        <f>+J14+J15</f>
        <v>2468</v>
      </c>
      <c r="K16" s="53">
        <f>+K14+K15</f>
        <v>3366</v>
      </c>
      <c r="L16" s="53">
        <f t="shared" si="2"/>
        <v>10103</v>
      </c>
      <c r="M16" s="53">
        <f>+M14+M15</f>
        <v>2016</v>
      </c>
      <c r="N16" s="53">
        <f>+N14+N15</f>
        <v>2421</v>
      </c>
      <c r="O16" s="53">
        <f>+O14+O15</f>
        <v>2433</v>
      </c>
      <c r="P16" s="53">
        <f>+P14+P15</f>
        <v>2828</v>
      </c>
      <c r="Q16" s="53">
        <f t="shared" si="3"/>
        <v>9698</v>
      </c>
      <c r="R16" s="53">
        <f>+R14+R15</f>
        <v>2195</v>
      </c>
      <c r="S16" s="53">
        <f>+S14+S15</f>
        <v>2630</v>
      </c>
      <c r="T16" s="53">
        <f>+T14+T15</f>
        <v>2236</v>
      </c>
      <c r="U16" s="53">
        <f>+U14+U15</f>
        <v>2318</v>
      </c>
      <c r="V16" s="53">
        <f t="shared" si="4"/>
        <v>9379</v>
      </c>
      <c r="W16" s="53">
        <v>2168</v>
      </c>
      <c r="X16" s="53">
        <f>SUM(X14:X15)</f>
        <v>2143</v>
      </c>
      <c r="Y16" s="53">
        <f>SUM(Y14:Y15)</f>
        <v>2694</v>
      </c>
      <c r="Z16" s="53">
        <f>SUM(Z14:Z15)</f>
        <v>2359</v>
      </c>
      <c r="AA16" s="53">
        <f t="shared" si="0"/>
        <v>9364</v>
      </c>
    </row>
    <row r="17" spans="1:27" ht="17.25" customHeight="1" thickBot="1">
      <c r="A17" s="7"/>
      <c r="B17" s="30" t="s">
        <v>20</v>
      </c>
      <c r="C17" s="47">
        <f>+C13+C16</f>
        <v>6992</v>
      </c>
      <c r="D17" s="47">
        <f>+D13+D16</f>
        <v>7558</v>
      </c>
      <c r="E17" s="47">
        <f>+E13+E16</f>
        <v>4696</v>
      </c>
      <c r="F17" s="47">
        <f>+F13+F16</f>
        <v>6095</v>
      </c>
      <c r="G17" s="47">
        <f t="shared" si="5"/>
        <v>25341</v>
      </c>
      <c r="H17" s="47">
        <f>+H13+H16</f>
        <v>5389</v>
      </c>
      <c r="I17" s="47">
        <f>+I13+I16</f>
        <v>6156</v>
      </c>
      <c r="J17" s="47">
        <f>+J13+J16</f>
        <v>5419</v>
      </c>
      <c r="K17" s="47">
        <f>+K13+K16</f>
        <v>6393</v>
      </c>
      <c r="L17" s="47">
        <f t="shared" si="2"/>
        <v>23357</v>
      </c>
      <c r="M17" s="47">
        <f>+M13+M16</f>
        <v>6356</v>
      </c>
      <c r="N17" s="47">
        <f>+N13+N16</f>
        <v>6786</v>
      </c>
      <c r="O17" s="47">
        <f>+O13+O16</f>
        <v>6274</v>
      </c>
      <c r="P17" s="47">
        <f>+P13+P16</f>
        <v>5295</v>
      </c>
      <c r="Q17" s="47">
        <f t="shared" si="3"/>
        <v>24711</v>
      </c>
      <c r="R17" s="47">
        <f>+R13+R16</f>
        <v>6088</v>
      </c>
      <c r="S17" s="47">
        <f>+S13+S16</f>
        <v>6610</v>
      </c>
      <c r="T17" s="47">
        <f>+T13+T16</f>
        <v>5591</v>
      </c>
      <c r="U17" s="47">
        <f>+U13+U16</f>
        <v>5689</v>
      </c>
      <c r="V17" s="47">
        <f t="shared" si="4"/>
        <v>23978</v>
      </c>
      <c r="W17" s="47">
        <f>+W13+W16</f>
        <v>6197</v>
      </c>
      <c r="X17" s="47">
        <f>+X13+X16</f>
        <v>5239</v>
      </c>
      <c r="Y17" s="47">
        <f>+Y13+Y16</f>
        <v>5761</v>
      </c>
      <c r="Z17" s="47">
        <f>+Z13+Z16</f>
        <v>5380</v>
      </c>
      <c r="AA17" s="47">
        <f t="shared" si="0"/>
        <v>22577</v>
      </c>
    </row>
    <row r="18" spans="1:27" ht="26.25" thickBot="1">
      <c r="A18" s="7"/>
      <c r="B18" s="142" t="s">
        <v>98</v>
      </c>
      <c r="C18" s="48">
        <f>+C11-C12-C17</f>
        <v>4448</v>
      </c>
      <c r="D18" s="48">
        <f>+D11-D12-D17</f>
        <v>5387</v>
      </c>
      <c r="E18" s="48">
        <f>+E11-E12-E17</f>
        <v>2070</v>
      </c>
      <c r="F18" s="48">
        <f>+F11-F12-F17</f>
        <v>1835</v>
      </c>
      <c r="G18" s="48">
        <f t="shared" si="5"/>
        <v>13740</v>
      </c>
      <c r="H18" s="48">
        <f>+H11-H12-H17</f>
        <v>-2538</v>
      </c>
      <c r="I18" s="48">
        <f>+I11-I12-I17</f>
        <v>1849</v>
      </c>
      <c r="J18" s="48">
        <f>+J11-J12-J17</f>
        <v>-2866</v>
      </c>
      <c r="K18" s="48">
        <f>+K11-K12-K17</f>
        <v>-11347</v>
      </c>
      <c r="L18" s="48">
        <f t="shared" si="2"/>
        <v>-14902</v>
      </c>
      <c r="M18" s="48">
        <f>+M11-M12-M17</f>
        <v>1567</v>
      </c>
      <c r="N18" s="48">
        <f>+N11-N12-N17</f>
        <v>1507</v>
      </c>
      <c r="O18" s="48">
        <f>+O11-O12-O17</f>
        <v>3543</v>
      </c>
      <c r="P18" s="48">
        <f>+P11-P12-P17</f>
        <v>1460</v>
      </c>
      <c r="Q18" s="48">
        <f t="shared" si="3"/>
        <v>8077</v>
      </c>
      <c r="R18" s="48">
        <f>+R11-R12-R17</f>
        <v>2975</v>
      </c>
      <c r="S18" s="48">
        <f>+S11-S12-S17</f>
        <v>1909</v>
      </c>
      <c r="T18" s="48">
        <f>+T11-T12-T17</f>
        <v>1001</v>
      </c>
      <c r="U18" s="48">
        <f>+U11-U12-U17</f>
        <v>1602</v>
      </c>
      <c r="V18" s="48">
        <f t="shared" si="4"/>
        <v>7487</v>
      </c>
      <c r="W18" s="48">
        <f>+W11-W12-W17</f>
        <v>1966</v>
      </c>
      <c r="X18" s="48">
        <f>+X11-X12-X17</f>
        <v>1640</v>
      </c>
      <c r="Y18" s="48">
        <f>+Y11-Y12-Y17</f>
        <v>844</v>
      </c>
      <c r="Z18" s="48">
        <f>+Z11-Z12-Z17</f>
        <v>-989</v>
      </c>
      <c r="AA18" s="48">
        <f t="shared" si="0"/>
        <v>3461</v>
      </c>
    </row>
    <row r="19" spans="1:27" s="20" customFormat="1" ht="21.75" customHeight="1">
      <c r="A19" s="7"/>
      <c r="B19" s="21" t="s">
        <v>93</v>
      </c>
      <c r="C19" s="122">
        <v>815</v>
      </c>
      <c r="D19" s="122">
        <v>863</v>
      </c>
      <c r="E19" s="122">
        <v>-23</v>
      </c>
      <c r="F19" s="122">
        <v>-407</v>
      </c>
      <c r="G19" s="49">
        <f t="shared" si="5"/>
        <v>1248</v>
      </c>
      <c r="H19" s="122">
        <v>-458</v>
      </c>
      <c r="I19" s="122">
        <v>300</v>
      </c>
      <c r="J19" s="122">
        <v>-1263</v>
      </c>
      <c r="K19" s="122">
        <v>-3175</v>
      </c>
      <c r="L19" s="49">
        <f t="shared" si="2"/>
        <v>-4596</v>
      </c>
      <c r="M19" s="122">
        <v>981</v>
      </c>
      <c r="N19" s="122">
        <v>-34</v>
      </c>
      <c r="O19" s="122">
        <v>427</v>
      </c>
      <c r="P19" s="122">
        <v>461</v>
      </c>
      <c r="Q19" s="49">
        <f t="shared" si="3"/>
        <v>1835</v>
      </c>
      <c r="R19" s="122">
        <v>839</v>
      </c>
      <c r="S19" s="122">
        <v>187</v>
      </c>
      <c r="T19" s="122">
        <v>117</v>
      </c>
      <c r="U19" s="122">
        <v>405</v>
      </c>
      <c r="V19" s="49">
        <f t="shared" si="4"/>
        <v>1548</v>
      </c>
      <c r="W19" s="122">
        <v>465</v>
      </c>
      <c r="X19" s="122">
        <v>271</v>
      </c>
      <c r="Y19" s="122">
        <v>332</v>
      </c>
      <c r="Z19" s="122">
        <v>-397</v>
      </c>
      <c r="AA19" s="49">
        <f t="shared" si="0"/>
        <v>671</v>
      </c>
    </row>
    <row r="20" spans="1:27" ht="29.25" customHeight="1" thickBot="1">
      <c r="A20" s="7"/>
      <c r="B20" s="143" t="s">
        <v>99</v>
      </c>
      <c r="C20" s="47">
        <f aca="true" t="shared" si="6" ref="C20:N20">+C18-C19</f>
        <v>3633</v>
      </c>
      <c r="D20" s="47">
        <f t="shared" si="6"/>
        <v>4524</v>
      </c>
      <c r="E20" s="47">
        <f t="shared" si="6"/>
        <v>2093</v>
      </c>
      <c r="F20" s="47">
        <f t="shared" si="6"/>
        <v>2242</v>
      </c>
      <c r="G20" s="47">
        <f t="shared" si="6"/>
        <v>12492</v>
      </c>
      <c r="H20" s="47">
        <f t="shared" si="6"/>
        <v>-2080</v>
      </c>
      <c r="I20" s="47">
        <f t="shared" si="6"/>
        <v>1549</v>
      </c>
      <c r="J20" s="47">
        <f t="shared" si="6"/>
        <v>-1603</v>
      </c>
      <c r="K20" s="47">
        <f t="shared" si="6"/>
        <v>-8172</v>
      </c>
      <c r="L20" s="47">
        <f t="shared" si="6"/>
        <v>-10306</v>
      </c>
      <c r="M20" s="47">
        <f t="shared" si="6"/>
        <v>586</v>
      </c>
      <c r="N20" s="47">
        <f t="shared" si="6"/>
        <v>1541</v>
      </c>
      <c r="O20" s="47">
        <f>+O18-O19</f>
        <v>3116</v>
      </c>
      <c r="P20" s="47">
        <f>+P18-P19</f>
        <v>999</v>
      </c>
      <c r="Q20" s="47">
        <f t="shared" si="3"/>
        <v>6242</v>
      </c>
      <c r="R20" s="47">
        <f>+R18-R19</f>
        <v>2136</v>
      </c>
      <c r="S20" s="47">
        <f>+S18-S19</f>
        <v>1722</v>
      </c>
      <c r="T20" s="47">
        <f>+T18-T19</f>
        <v>884</v>
      </c>
      <c r="U20" s="47">
        <f>+U18-U19</f>
        <v>1197</v>
      </c>
      <c r="V20" s="47">
        <f t="shared" si="4"/>
        <v>5939</v>
      </c>
      <c r="W20" s="47">
        <f>+W18-W19</f>
        <v>1501</v>
      </c>
      <c r="X20" s="47">
        <f>+X18-X19</f>
        <v>1369</v>
      </c>
      <c r="Y20" s="47">
        <f>+Y18-Y19</f>
        <v>512</v>
      </c>
      <c r="Z20" s="47">
        <f>+Z18-Z19</f>
        <v>-592</v>
      </c>
      <c r="AA20" s="47">
        <f t="shared" si="0"/>
        <v>2790</v>
      </c>
    </row>
    <row r="21" spans="1:27" ht="17.25" customHeight="1">
      <c r="A21" s="7"/>
      <c r="B21" s="21" t="s">
        <v>102</v>
      </c>
      <c r="C21" s="125">
        <v>21</v>
      </c>
      <c r="D21" s="125">
        <v>0</v>
      </c>
      <c r="E21" s="125">
        <v>-25</v>
      </c>
      <c r="F21" s="125">
        <v>10</v>
      </c>
      <c r="G21" s="94">
        <f t="shared" si="5"/>
        <v>6</v>
      </c>
      <c r="H21" s="125">
        <v>6</v>
      </c>
      <c r="I21" s="125">
        <v>-5</v>
      </c>
      <c r="J21" s="125">
        <v>6</v>
      </c>
      <c r="K21" s="125">
        <v>-538</v>
      </c>
      <c r="L21" s="94">
        <f t="shared" si="2"/>
        <v>-531</v>
      </c>
      <c r="M21" s="125">
        <v>-32</v>
      </c>
      <c r="N21" s="125">
        <v>13</v>
      </c>
      <c r="O21" s="125">
        <v>188</v>
      </c>
      <c r="P21" s="125">
        <v>0</v>
      </c>
      <c r="Q21" s="94">
        <f t="shared" si="3"/>
        <v>169</v>
      </c>
      <c r="R21" s="125">
        <v>-19</v>
      </c>
      <c r="S21" s="125">
        <v>0</v>
      </c>
      <c r="T21" s="125">
        <v>0</v>
      </c>
      <c r="U21" s="119">
        <v>0</v>
      </c>
      <c r="V21" s="53">
        <f t="shared" si="4"/>
        <v>-19</v>
      </c>
      <c r="W21" s="119">
        <v>0</v>
      </c>
      <c r="X21" s="119">
        <v>0</v>
      </c>
      <c r="Y21" s="119">
        <v>0</v>
      </c>
      <c r="Z21" s="119">
        <v>0</v>
      </c>
      <c r="AA21" s="53">
        <f t="shared" si="0"/>
        <v>0</v>
      </c>
    </row>
    <row r="22" spans="1:27" s="20" customFormat="1" ht="17.25" customHeight="1" hidden="1" outlineLevel="1">
      <c r="A22" s="7"/>
      <c r="B22" s="17" t="s">
        <v>23</v>
      </c>
      <c r="C22" s="126">
        <v>0</v>
      </c>
      <c r="D22" s="126">
        <v>0</v>
      </c>
      <c r="E22" s="126">
        <v>0</v>
      </c>
      <c r="F22" s="126">
        <v>0</v>
      </c>
      <c r="G22" s="95">
        <f t="shared" si="5"/>
        <v>0</v>
      </c>
      <c r="H22" s="126">
        <v>0</v>
      </c>
      <c r="I22" s="126">
        <v>0</v>
      </c>
      <c r="J22" s="126">
        <v>0</v>
      </c>
      <c r="K22" s="126">
        <v>0</v>
      </c>
      <c r="L22" s="95">
        <f t="shared" si="2"/>
        <v>0</v>
      </c>
      <c r="M22" s="126">
        <v>0</v>
      </c>
      <c r="N22" s="126">
        <v>0</v>
      </c>
      <c r="O22" s="126">
        <v>0</v>
      </c>
      <c r="P22" s="126">
        <v>0</v>
      </c>
      <c r="Q22" s="95">
        <f t="shared" si="3"/>
        <v>0</v>
      </c>
      <c r="R22" s="126">
        <v>0</v>
      </c>
      <c r="S22" s="126">
        <v>0</v>
      </c>
      <c r="T22" s="126">
        <v>0</v>
      </c>
      <c r="U22" s="132">
        <v>0</v>
      </c>
      <c r="V22" s="56">
        <f t="shared" si="4"/>
        <v>0</v>
      </c>
      <c r="W22" s="132">
        <v>0</v>
      </c>
      <c r="X22" s="132">
        <v>0</v>
      </c>
      <c r="Y22" s="132">
        <v>0</v>
      </c>
      <c r="Z22" s="132">
        <v>0</v>
      </c>
      <c r="AA22" s="56">
        <f t="shared" si="0"/>
        <v>0</v>
      </c>
    </row>
    <row r="23" spans="1:27" s="20" customFormat="1" ht="17.25" customHeight="1" collapsed="1" thickBot="1">
      <c r="A23" s="7"/>
      <c r="B23" s="30" t="s">
        <v>92</v>
      </c>
      <c r="C23" s="47">
        <f>SUM(C20:C22)</f>
        <v>3654</v>
      </c>
      <c r="D23" s="47">
        <f>SUM(D20:D22)</f>
        <v>4524</v>
      </c>
      <c r="E23" s="47">
        <f>SUM(E20:E22)</f>
        <v>2068</v>
      </c>
      <c r="F23" s="47">
        <f>SUM(F20:F22)</f>
        <v>2252</v>
      </c>
      <c r="G23" s="47">
        <f t="shared" si="5"/>
        <v>12498</v>
      </c>
      <c r="H23" s="47">
        <f>SUM(H20:H22)</f>
        <v>-2074</v>
      </c>
      <c r="I23" s="47">
        <f>SUM(I20:I22)</f>
        <v>1544</v>
      </c>
      <c r="J23" s="47">
        <f>SUM(J20:J22)</f>
        <v>-1597</v>
      </c>
      <c r="K23" s="47">
        <f>SUM(K20:K22)</f>
        <v>-8710</v>
      </c>
      <c r="L23" s="47">
        <f t="shared" si="2"/>
        <v>-10837</v>
      </c>
      <c r="M23" s="47">
        <f>SUM(M20:M22)</f>
        <v>554</v>
      </c>
      <c r="N23" s="47">
        <f>SUM(N20:N22)</f>
        <v>1554</v>
      </c>
      <c r="O23" s="47">
        <f>SUM(O20:O22)</f>
        <v>3304</v>
      </c>
      <c r="P23" s="47">
        <f>SUM(P20:P22)</f>
        <v>999</v>
      </c>
      <c r="Q23" s="47">
        <f t="shared" si="3"/>
        <v>6411</v>
      </c>
      <c r="R23" s="47">
        <f>SUM(R20:R22)</f>
        <v>2117</v>
      </c>
      <c r="S23" s="47">
        <f>SUM(S20:S22)</f>
        <v>1722</v>
      </c>
      <c r="T23" s="47">
        <f>SUM(T20:T22)</f>
        <v>884</v>
      </c>
      <c r="U23" s="47">
        <f>SUM(U20:U22)</f>
        <v>1197</v>
      </c>
      <c r="V23" s="47">
        <f t="shared" si="4"/>
        <v>5920</v>
      </c>
      <c r="W23" s="47">
        <f>SUM(W20:W22)</f>
        <v>1501</v>
      </c>
      <c r="X23" s="47">
        <f>SUM(X20:X22)</f>
        <v>1369</v>
      </c>
      <c r="Y23" s="47">
        <f>SUM(Y20:Y22)</f>
        <v>512</v>
      </c>
      <c r="Z23" s="47">
        <f>SUM(Z20:Z22)</f>
        <v>-592</v>
      </c>
      <c r="AA23" s="47">
        <f t="shared" si="0"/>
        <v>2790</v>
      </c>
    </row>
    <row r="24" spans="1:27" s="20" customFormat="1" ht="32.25" customHeight="1">
      <c r="A24" s="7"/>
      <c r="B24" s="170" t="s">
        <v>158</v>
      </c>
      <c r="C24" s="124">
        <v>925</v>
      </c>
      <c r="D24" s="124">
        <v>1335</v>
      </c>
      <c r="E24" s="124">
        <v>766</v>
      </c>
      <c r="F24" s="124">
        <v>1712</v>
      </c>
      <c r="G24" s="51">
        <f>SUM(C24:F24)</f>
        <v>4738</v>
      </c>
      <c r="H24" s="124">
        <v>74</v>
      </c>
      <c r="I24" s="124">
        <v>329</v>
      </c>
      <c r="J24" s="124">
        <v>-336</v>
      </c>
      <c r="K24" s="124">
        <v>-2686</v>
      </c>
      <c r="L24" s="51">
        <f>SUM(H24:K24)</f>
        <v>-2619</v>
      </c>
      <c r="M24" s="124">
        <v>-1452</v>
      </c>
      <c r="N24" s="124">
        <v>-17</v>
      </c>
      <c r="O24" s="124">
        <v>950</v>
      </c>
      <c r="P24" s="124">
        <v>206</v>
      </c>
      <c r="Q24" s="51">
        <f t="shared" si="3"/>
        <v>-313</v>
      </c>
      <c r="R24" s="124">
        <v>62</v>
      </c>
      <c r="S24" s="124">
        <v>129</v>
      </c>
      <c r="T24" s="124">
        <v>275</v>
      </c>
      <c r="U24" s="124">
        <v>356</v>
      </c>
      <c r="V24" s="51">
        <f t="shared" si="4"/>
        <v>822</v>
      </c>
      <c r="W24" s="124">
        <v>362</v>
      </c>
      <c r="X24" s="124">
        <v>601</v>
      </c>
      <c r="Y24" s="124">
        <v>-171</v>
      </c>
      <c r="Z24" s="124">
        <v>45</v>
      </c>
      <c r="AA24" s="51">
        <f t="shared" si="0"/>
        <v>837</v>
      </c>
    </row>
    <row r="25" spans="1:27" s="20" customFormat="1" ht="31.5" customHeight="1" thickBot="1">
      <c r="A25" s="7"/>
      <c r="B25" s="46" t="s">
        <v>120</v>
      </c>
      <c r="C25" s="47">
        <f aca="true" t="shared" si="7" ref="C25:N25">+C23-C24</f>
        <v>2729</v>
      </c>
      <c r="D25" s="47">
        <f t="shared" si="7"/>
        <v>3189</v>
      </c>
      <c r="E25" s="47">
        <f t="shared" si="7"/>
        <v>1302</v>
      </c>
      <c r="F25" s="47">
        <f t="shared" si="7"/>
        <v>540</v>
      </c>
      <c r="G25" s="47">
        <f t="shared" si="7"/>
        <v>7760</v>
      </c>
      <c r="H25" s="47">
        <f t="shared" si="7"/>
        <v>-2148</v>
      </c>
      <c r="I25" s="47">
        <f t="shared" si="7"/>
        <v>1215</v>
      </c>
      <c r="J25" s="47">
        <f t="shared" si="7"/>
        <v>-1261</v>
      </c>
      <c r="K25" s="47">
        <f t="shared" si="7"/>
        <v>-6024</v>
      </c>
      <c r="L25" s="47">
        <f t="shared" si="7"/>
        <v>-8218</v>
      </c>
      <c r="M25" s="47">
        <f t="shared" si="7"/>
        <v>2006</v>
      </c>
      <c r="N25" s="47">
        <f t="shared" si="7"/>
        <v>1571</v>
      </c>
      <c r="O25" s="47">
        <f>+O23-O24</f>
        <v>2354</v>
      </c>
      <c r="P25" s="47">
        <f>+P23-P24</f>
        <v>793</v>
      </c>
      <c r="Q25" s="47">
        <f t="shared" si="3"/>
        <v>6724</v>
      </c>
      <c r="R25" s="47">
        <f>+R23-R24</f>
        <v>2055</v>
      </c>
      <c r="S25" s="47">
        <f>+S23-S24</f>
        <v>1593</v>
      </c>
      <c r="T25" s="47">
        <f>+T23-T24</f>
        <v>609</v>
      </c>
      <c r="U25" s="47">
        <f>+U23-U24</f>
        <v>841</v>
      </c>
      <c r="V25" s="47">
        <f t="shared" si="4"/>
        <v>5098</v>
      </c>
      <c r="W25" s="47">
        <f>+W23-W24</f>
        <v>1139</v>
      </c>
      <c r="X25" s="47">
        <f>+X23-X24</f>
        <v>768</v>
      </c>
      <c r="Y25" s="47">
        <f>+Y23-Y24</f>
        <v>683</v>
      </c>
      <c r="Z25" s="47">
        <f>+Z23-Z24</f>
        <v>-637</v>
      </c>
      <c r="AA25" s="47">
        <f t="shared" si="0"/>
        <v>1953</v>
      </c>
    </row>
    <row r="26" spans="1:27" ht="31.5" customHeight="1">
      <c r="A26" s="7"/>
      <c r="B26" s="174" t="s">
        <v>116</v>
      </c>
      <c r="C26" s="173">
        <f aca="true" t="shared" si="8" ref="C26:P26">+C20-C24</f>
        <v>2708</v>
      </c>
      <c r="D26" s="173">
        <f t="shared" si="8"/>
        <v>3189</v>
      </c>
      <c r="E26" s="173">
        <f t="shared" si="8"/>
        <v>1327</v>
      </c>
      <c r="F26" s="173">
        <f t="shared" si="8"/>
        <v>530</v>
      </c>
      <c r="G26" s="173">
        <f t="shared" si="8"/>
        <v>7754</v>
      </c>
      <c r="H26" s="173">
        <f t="shared" si="8"/>
        <v>-2154</v>
      </c>
      <c r="I26" s="173">
        <f t="shared" si="8"/>
        <v>1220</v>
      </c>
      <c r="J26" s="173">
        <f t="shared" si="8"/>
        <v>-1267</v>
      </c>
      <c r="K26" s="173">
        <f t="shared" si="8"/>
        <v>-5486</v>
      </c>
      <c r="L26" s="173">
        <f t="shared" si="8"/>
        <v>-7687</v>
      </c>
      <c r="M26" s="173">
        <f t="shared" si="8"/>
        <v>2038</v>
      </c>
      <c r="N26" s="173">
        <f t="shared" si="8"/>
        <v>1558</v>
      </c>
      <c r="O26" s="173">
        <f t="shared" si="8"/>
        <v>2166</v>
      </c>
      <c r="P26" s="173">
        <f t="shared" si="8"/>
        <v>793</v>
      </c>
      <c r="Q26" s="173">
        <f t="shared" si="3"/>
        <v>6555</v>
      </c>
      <c r="R26" s="173">
        <f>+R20-R24</f>
        <v>2074</v>
      </c>
      <c r="S26" s="173">
        <f>+S20-S24</f>
        <v>1593</v>
      </c>
      <c r="T26" s="173">
        <f>+T20-T24</f>
        <v>609</v>
      </c>
      <c r="U26" s="173">
        <f>+U20-U24</f>
        <v>841</v>
      </c>
      <c r="V26" s="173">
        <f t="shared" si="4"/>
        <v>5117</v>
      </c>
      <c r="W26" s="173">
        <f>+W20-W24</f>
        <v>1139</v>
      </c>
      <c r="X26" s="173">
        <f>+X20-X24</f>
        <v>768</v>
      </c>
      <c r="Y26" s="173">
        <f>+Y20-Y24</f>
        <v>683</v>
      </c>
      <c r="Z26" s="173">
        <f>+Z20-Z24</f>
        <v>-637</v>
      </c>
      <c r="AA26" s="173">
        <f t="shared" si="0"/>
        <v>1953</v>
      </c>
    </row>
    <row r="27" spans="1:27" ht="31.5" customHeight="1">
      <c r="A27" s="7"/>
      <c r="B27" s="174" t="s">
        <v>122</v>
      </c>
      <c r="C27" s="173">
        <f aca="true" t="shared" si="9" ref="C27:F28">+C21</f>
        <v>21</v>
      </c>
      <c r="D27" s="173">
        <f t="shared" si="9"/>
        <v>0</v>
      </c>
      <c r="E27" s="173">
        <f t="shared" si="9"/>
        <v>-25</v>
      </c>
      <c r="F27" s="173">
        <f t="shared" si="9"/>
        <v>10</v>
      </c>
      <c r="G27" s="171">
        <f aca="true" t="shared" si="10" ref="G27:M27">+G21</f>
        <v>6</v>
      </c>
      <c r="H27" s="171">
        <f t="shared" si="10"/>
        <v>6</v>
      </c>
      <c r="I27" s="171">
        <f t="shared" si="10"/>
        <v>-5</v>
      </c>
      <c r="J27" s="171">
        <f t="shared" si="10"/>
        <v>6</v>
      </c>
      <c r="K27" s="171">
        <f t="shared" si="10"/>
        <v>-538</v>
      </c>
      <c r="L27" s="171">
        <f t="shared" si="10"/>
        <v>-531</v>
      </c>
      <c r="M27" s="171">
        <f t="shared" si="10"/>
        <v>-32</v>
      </c>
      <c r="N27" s="171">
        <f aca="true" t="shared" si="11" ref="N27:P28">+N21</f>
        <v>13</v>
      </c>
      <c r="O27" s="171">
        <f t="shared" si="11"/>
        <v>188</v>
      </c>
      <c r="P27" s="171">
        <f t="shared" si="11"/>
        <v>0</v>
      </c>
      <c r="Q27" s="171">
        <f t="shared" si="3"/>
        <v>169</v>
      </c>
      <c r="R27" s="171">
        <f aca="true" t="shared" si="12" ref="R27:U28">+R21</f>
        <v>-19</v>
      </c>
      <c r="S27" s="171">
        <f t="shared" si="12"/>
        <v>0</v>
      </c>
      <c r="T27" s="171">
        <f t="shared" si="12"/>
        <v>0</v>
      </c>
      <c r="U27" s="173">
        <f t="shared" si="12"/>
        <v>0</v>
      </c>
      <c r="V27" s="173">
        <f t="shared" si="4"/>
        <v>-19</v>
      </c>
      <c r="W27" s="173">
        <f aca="true" t="shared" si="13" ref="W27:Y28">+W21</f>
        <v>0</v>
      </c>
      <c r="X27" s="173">
        <f t="shared" si="13"/>
        <v>0</v>
      </c>
      <c r="Y27" s="173">
        <f t="shared" si="13"/>
        <v>0</v>
      </c>
      <c r="Z27" s="173">
        <f>+Z21</f>
        <v>0</v>
      </c>
      <c r="AA27" s="173">
        <f t="shared" si="0"/>
        <v>0</v>
      </c>
    </row>
    <row r="28" spans="1:27" s="20" customFormat="1" ht="27.75" customHeight="1" hidden="1" outlineLevel="1" thickBot="1">
      <c r="A28" s="7"/>
      <c r="B28" s="175" t="s">
        <v>115</v>
      </c>
      <c r="C28" s="307">
        <f t="shared" si="9"/>
        <v>0</v>
      </c>
      <c r="D28" s="307">
        <f t="shared" si="9"/>
        <v>0</v>
      </c>
      <c r="E28" s="307">
        <f t="shared" si="9"/>
        <v>0</v>
      </c>
      <c r="F28" s="307">
        <f t="shared" si="9"/>
        <v>0</v>
      </c>
      <c r="G28" s="307">
        <f>+G22</f>
        <v>0</v>
      </c>
      <c r="H28" s="307">
        <f aca="true" t="shared" si="14" ref="H28:M28">+H22</f>
        <v>0</v>
      </c>
      <c r="I28" s="307">
        <f t="shared" si="14"/>
        <v>0</v>
      </c>
      <c r="J28" s="307">
        <f t="shared" si="14"/>
        <v>0</v>
      </c>
      <c r="K28" s="307">
        <f t="shared" si="14"/>
        <v>0</v>
      </c>
      <c r="L28" s="307">
        <f t="shared" si="14"/>
        <v>0</v>
      </c>
      <c r="M28" s="307">
        <f t="shared" si="14"/>
        <v>0</v>
      </c>
      <c r="N28" s="307">
        <f t="shared" si="11"/>
        <v>0</v>
      </c>
      <c r="O28" s="307">
        <f t="shared" si="11"/>
        <v>0</v>
      </c>
      <c r="P28" s="307">
        <f t="shared" si="11"/>
        <v>0</v>
      </c>
      <c r="Q28" s="307">
        <f t="shared" si="3"/>
        <v>0</v>
      </c>
      <c r="R28" s="307">
        <f t="shared" si="12"/>
        <v>0</v>
      </c>
      <c r="S28" s="307">
        <f t="shared" si="12"/>
        <v>0</v>
      </c>
      <c r="T28" s="307">
        <f t="shared" si="12"/>
        <v>0</v>
      </c>
      <c r="U28" s="307">
        <f t="shared" si="12"/>
        <v>0</v>
      </c>
      <c r="V28" s="307">
        <f t="shared" si="4"/>
        <v>0</v>
      </c>
      <c r="W28" s="307">
        <f t="shared" si="13"/>
        <v>0</v>
      </c>
      <c r="X28" s="307">
        <f t="shared" si="13"/>
        <v>0</v>
      </c>
      <c r="Y28" s="307">
        <f t="shared" si="13"/>
        <v>0</v>
      </c>
      <c r="Z28" s="307">
        <f>+Z22</f>
        <v>0</v>
      </c>
      <c r="AA28" s="307">
        <f t="shared" si="0"/>
        <v>0</v>
      </c>
    </row>
    <row r="29" spans="1:27" ht="12" customHeight="1" collapsed="1">
      <c r="A29" s="7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7.25" customHeight="1">
      <c r="A30" s="7"/>
      <c r="B30" s="13" t="s">
        <v>114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7.25" customHeight="1">
      <c r="A31" s="7"/>
      <c r="B31" s="32" t="s">
        <v>42</v>
      </c>
      <c r="C31" s="58">
        <f aca="true" t="shared" si="15" ref="C31:L31">+C17/C11*100</f>
        <v>60.8</v>
      </c>
      <c r="D31" s="58">
        <f t="shared" si="15"/>
        <v>58.5</v>
      </c>
      <c r="E31" s="58">
        <f t="shared" si="15"/>
        <v>69.4</v>
      </c>
      <c r="F31" s="58">
        <f t="shared" si="15"/>
        <v>74.9</v>
      </c>
      <c r="G31" s="58">
        <f t="shared" si="15"/>
        <v>64.4</v>
      </c>
      <c r="H31" s="58">
        <f t="shared" si="15"/>
        <v>179.5</v>
      </c>
      <c r="I31" s="58">
        <f t="shared" si="15"/>
        <v>76.5</v>
      </c>
      <c r="J31" s="58">
        <f t="shared" si="15"/>
        <v>201.9</v>
      </c>
      <c r="K31" s="58">
        <f t="shared" si="15"/>
        <v>-143.1</v>
      </c>
      <c r="L31" s="58">
        <f t="shared" si="15"/>
        <v>252</v>
      </c>
      <c r="M31" s="58">
        <f aca="true" t="shared" si="16" ref="M31:R31">+M17/M11*100</f>
        <v>78.4</v>
      </c>
      <c r="N31" s="58">
        <f t="shared" si="16"/>
        <v>78.9</v>
      </c>
      <c r="O31" s="58">
        <f t="shared" si="16"/>
        <v>63.6</v>
      </c>
      <c r="P31" s="58">
        <f t="shared" si="16"/>
        <v>78.9</v>
      </c>
      <c r="Q31" s="58">
        <f t="shared" si="16"/>
        <v>74.2</v>
      </c>
      <c r="R31" s="58">
        <f t="shared" si="16"/>
        <v>67.5</v>
      </c>
      <c r="S31" s="58">
        <f aca="true" t="shared" si="17" ref="S31:X31">+S17/S11*100</f>
        <v>77.4</v>
      </c>
      <c r="T31" s="58">
        <f t="shared" si="17"/>
        <v>85.2</v>
      </c>
      <c r="U31" s="58">
        <f t="shared" si="17"/>
        <v>78.3</v>
      </c>
      <c r="V31" s="58">
        <f t="shared" si="17"/>
        <v>76.4</v>
      </c>
      <c r="W31" s="58">
        <f t="shared" si="17"/>
        <v>76</v>
      </c>
      <c r="X31" s="58">
        <f t="shared" si="17"/>
        <v>76</v>
      </c>
      <c r="Y31" s="58">
        <f>+Y17/Y11*100</f>
        <v>86.1</v>
      </c>
      <c r="Z31" s="58">
        <f>+Z17/Z11*100</f>
        <v>119.9</v>
      </c>
      <c r="AA31" s="58">
        <f>+AA17/AA11*100</f>
        <v>86.1</v>
      </c>
    </row>
    <row r="32" spans="1:27" ht="17.25" customHeight="1">
      <c r="A32" s="7"/>
      <c r="B32" s="32" t="s">
        <v>43</v>
      </c>
      <c r="C32" s="58">
        <f aca="true" t="shared" si="18" ref="C32:L32">+C18/C11*100</f>
        <v>38.7</v>
      </c>
      <c r="D32" s="58">
        <f t="shared" si="18"/>
        <v>41.7</v>
      </c>
      <c r="E32" s="58">
        <f t="shared" si="18"/>
        <v>30.6</v>
      </c>
      <c r="F32" s="58">
        <f t="shared" si="18"/>
        <v>22.6</v>
      </c>
      <c r="G32" s="58">
        <f t="shared" si="18"/>
        <v>34.9</v>
      </c>
      <c r="H32" s="58">
        <f t="shared" si="18"/>
        <v>-84.5</v>
      </c>
      <c r="I32" s="58">
        <f t="shared" si="18"/>
        <v>23</v>
      </c>
      <c r="J32" s="58">
        <f t="shared" si="18"/>
        <v>-106.8</v>
      </c>
      <c r="K32" s="58">
        <f t="shared" si="18"/>
        <v>254</v>
      </c>
      <c r="L32" s="58">
        <f t="shared" si="18"/>
        <v>-160.8</v>
      </c>
      <c r="M32" s="58">
        <f aca="true" t="shared" si="19" ref="M32:R32">+M18/M11*100</f>
        <v>19.3</v>
      </c>
      <c r="N32" s="58">
        <f t="shared" si="19"/>
        <v>17.5</v>
      </c>
      <c r="O32" s="58">
        <f t="shared" si="19"/>
        <v>35.9</v>
      </c>
      <c r="P32" s="58">
        <f t="shared" si="19"/>
        <v>21.7</v>
      </c>
      <c r="Q32" s="58">
        <f t="shared" si="19"/>
        <v>24.3</v>
      </c>
      <c r="R32" s="58">
        <f t="shared" si="19"/>
        <v>33</v>
      </c>
      <c r="S32" s="58">
        <f aca="true" t="shared" si="20" ref="S32:X32">+S18/S11*100</f>
        <v>22.4</v>
      </c>
      <c r="T32" s="58">
        <f t="shared" si="20"/>
        <v>15.2</v>
      </c>
      <c r="U32" s="58">
        <f t="shared" si="20"/>
        <v>22</v>
      </c>
      <c r="V32" s="58">
        <f t="shared" si="20"/>
        <v>23.9</v>
      </c>
      <c r="W32" s="58">
        <f t="shared" si="20"/>
        <v>24.1</v>
      </c>
      <c r="X32" s="58">
        <f t="shared" si="20"/>
        <v>23.8</v>
      </c>
      <c r="Y32" s="58">
        <f>+Y18/Y11*100</f>
        <v>12.6</v>
      </c>
      <c r="Z32" s="58">
        <f>+Z18/Z11*100</f>
        <v>-22</v>
      </c>
      <c r="AA32" s="58">
        <f>+AA18/AA11*100</f>
        <v>13.2</v>
      </c>
    </row>
    <row r="33" spans="1:27" ht="17.25" customHeight="1">
      <c r="A33" s="7"/>
      <c r="B33" s="32" t="s">
        <v>73</v>
      </c>
      <c r="C33" s="58">
        <f aca="true" t="shared" si="21" ref="C33:H33">+C19/C18*100</f>
        <v>18.3</v>
      </c>
      <c r="D33" s="58">
        <f t="shared" si="21"/>
        <v>16</v>
      </c>
      <c r="E33" s="58">
        <f t="shared" si="21"/>
        <v>-1.1</v>
      </c>
      <c r="F33" s="58">
        <f t="shared" si="21"/>
        <v>-22.2</v>
      </c>
      <c r="G33" s="58">
        <f t="shared" si="21"/>
        <v>9.1</v>
      </c>
      <c r="H33" s="58">
        <f t="shared" si="21"/>
        <v>18</v>
      </c>
      <c r="I33" s="58">
        <f aca="true" t="shared" si="22" ref="I33:N33">+I19/I18*100</f>
        <v>16.2</v>
      </c>
      <c r="J33" s="58">
        <f t="shared" si="22"/>
        <v>44.1</v>
      </c>
      <c r="K33" s="58">
        <f t="shared" si="22"/>
        <v>28</v>
      </c>
      <c r="L33" s="58">
        <f t="shared" si="22"/>
        <v>30.8</v>
      </c>
      <c r="M33" s="58">
        <f t="shared" si="22"/>
        <v>62.6</v>
      </c>
      <c r="N33" s="58">
        <f t="shared" si="22"/>
        <v>-2.3</v>
      </c>
      <c r="O33" s="58">
        <f aca="true" t="shared" si="23" ref="O33:T33">+O19/O18*100</f>
        <v>12.1</v>
      </c>
      <c r="P33" s="58">
        <f t="shared" si="23"/>
        <v>31.6</v>
      </c>
      <c r="Q33" s="58">
        <f t="shared" si="23"/>
        <v>22.7</v>
      </c>
      <c r="R33" s="58">
        <f t="shared" si="23"/>
        <v>28.2</v>
      </c>
      <c r="S33" s="58">
        <f t="shared" si="23"/>
        <v>9.8</v>
      </c>
      <c r="T33" s="58">
        <f t="shared" si="23"/>
        <v>11.7</v>
      </c>
      <c r="U33" s="58">
        <f aca="true" t="shared" si="24" ref="U33:AA33">+U19/U18*100</f>
        <v>25.3</v>
      </c>
      <c r="V33" s="58">
        <f t="shared" si="24"/>
        <v>20.7</v>
      </c>
      <c r="W33" s="58">
        <f t="shared" si="24"/>
        <v>23.7</v>
      </c>
      <c r="X33" s="58">
        <f t="shared" si="24"/>
        <v>16.5</v>
      </c>
      <c r="Y33" s="58">
        <f t="shared" si="24"/>
        <v>39.3</v>
      </c>
      <c r="Z33" s="58">
        <f t="shared" si="24"/>
        <v>40.1</v>
      </c>
      <c r="AA33" s="58">
        <f t="shared" si="24"/>
        <v>19.4</v>
      </c>
    </row>
    <row r="34" spans="1:27" ht="29.25" customHeight="1">
      <c r="A34" s="7"/>
      <c r="B34" s="416" t="s">
        <v>173</v>
      </c>
      <c r="C34" s="58">
        <f aca="true" t="shared" si="25" ref="C34:R34">+C26/C11*100</f>
        <v>23.6</v>
      </c>
      <c r="D34" s="58">
        <f t="shared" si="25"/>
        <v>24.7</v>
      </c>
      <c r="E34" s="58">
        <f t="shared" si="25"/>
        <v>19.6</v>
      </c>
      <c r="F34" s="58">
        <f t="shared" si="25"/>
        <v>6.5</v>
      </c>
      <c r="G34" s="58">
        <f t="shared" si="25"/>
        <v>19.7</v>
      </c>
      <c r="H34" s="58">
        <f t="shared" si="25"/>
        <v>-71.8</v>
      </c>
      <c r="I34" s="58">
        <f t="shared" si="25"/>
        <v>15.2</v>
      </c>
      <c r="J34" s="58">
        <f t="shared" si="25"/>
        <v>-47.2</v>
      </c>
      <c r="K34" s="58">
        <f t="shared" si="25"/>
        <v>122.8</v>
      </c>
      <c r="L34" s="58">
        <f t="shared" si="25"/>
        <v>-82.9</v>
      </c>
      <c r="M34" s="58">
        <f t="shared" si="25"/>
        <v>25.1</v>
      </c>
      <c r="N34" s="58">
        <f t="shared" si="25"/>
        <v>18.1</v>
      </c>
      <c r="O34" s="58">
        <f t="shared" si="25"/>
        <v>21.9</v>
      </c>
      <c r="P34" s="58">
        <f t="shared" si="25"/>
        <v>11.8</v>
      </c>
      <c r="Q34" s="58">
        <f t="shared" si="25"/>
        <v>19.7</v>
      </c>
      <c r="R34" s="58">
        <f t="shared" si="25"/>
        <v>23</v>
      </c>
      <c r="S34" s="58">
        <f aca="true" t="shared" si="26" ref="S34:X34">+S26/S11*100</f>
        <v>18.7</v>
      </c>
      <c r="T34" s="58">
        <f t="shared" si="26"/>
        <v>9.3</v>
      </c>
      <c r="U34" s="58">
        <f t="shared" si="26"/>
        <v>11.6</v>
      </c>
      <c r="V34" s="58">
        <f t="shared" si="26"/>
        <v>16.3</v>
      </c>
      <c r="W34" s="58">
        <f t="shared" si="26"/>
        <v>14</v>
      </c>
      <c r="X34" s="58">
        <f t="shared" si="26"/>
        <v>11.1</v>
      </c>
      <c r="Y34" s="58">
        <f>+Y26/Y11*100</f>
        <v>10.2</v>
      </c>
      <c r="Z34" s="58">
        <f>+Z26/Z11*100</f>
        <v>-14.2</v>
      </c>
      <c r="AA34" s="58">
        <f>+AA26/AA11*100</f>
        <v>7.4</v>
      </c>
    </row>
    <row r="35" spans="1:27" ht="17.25" customHeight="1" thickBot="1">
      <c r="A35" s="7"/>
      <c r="B35" s="65" t="s">
        <v>174</v>
      </c>
      <c r="C35" s="69">
        <f aca="true" t="shared" si="27" ref="C35:R35">+C25/C11*100</f>
        <v>23.7</v>
      </c>
      <c r="D35" s="69">
        <f t="shared" si="27"/>
        <v>24.7</v>
      </c>
      <c r="E35" s="69">
        <f t="shared" si="27"/>
        <v>19.2</v>
      </c>
      <c r="F35" s="69">
        <f t="shared" si="27"/>
        <v>6.6</v>
      </c>
      <c r="G35" s="69">
        <f t="shared" si="27"/>
        <v>19.7</v>
      </c>
      <c r="H35" s="69">
        <f t="shared" si="27"/>
        <v>-71.6</v>
      </c>
      <c r="I35" s="69">
        <f t="shared" si="27"/>
        <v>15.1</v>
      </c>
      <c r="J35" s="69">
        <f t="shared" si="27"/>
        <v>-47</v>
      </c>
      <c r="K35" s="69">
        <f t="shared" si="27"/>
        <v>134.8</v>
      </c>
      <c r="L35" s="69">
        <f t="shared" si="27"/>
        <v>-88.7</v>
      </c>
      <c r="M35" s="69">
        <f t="shared" si="27"/>
        <v>24.7</v>
      </c>
      <c r="N35" s="69">
        <f t="shared" si="27"/>
        <v>18.3</v>
      </c>
      <c r="O35" s="69">
        <f t="shared" si="27"/>
        <v>23.9</v>
      </c>
      <c r="P35" s="69">
        <f t="shared" si="27"/>
        <v>11.8</v>
      </c>
      <c r="Q35" s="69">
        <f t="shared" si="27"/>
        <v>20.2</v>
      </c>
      <c r="R35" s="69">
        <f t="shared" si="27"/>
        <v>22.8</v>
      </c>
      <c r="S35" s="69">
        <f aca="true" t="shared" si="28" ref="S35:X35">+S25/S11*100</f>
        <v>18.7</v>
      </c>
      <c r="T35" s="69">
        <f t="shared" si="28"/>
        <v>9.3</v>
      </c>
      <c r="U35" s="69">
        <f t="shared" si="28"/>
        <v>11.6</v>
      </c>
      <c r="V35" s="69">
        <f t="shared" si="28"/>
        <v>16.2</v>
      </c>
      <c r="W35" s="69">
        <f t="shared" si="28"/>
        <v>14</v>
      </c>
      <c r="X35" s="69">
        <f t="shared" si="28"/>
        <v>11.1</v>
      </c>
      <c r="Y35" s="69">
        <f>+Y25/Y11*100</f>
        <v>10.2</v>
      </c>
      <c r="Z35" s="69">
        <f>+Z25/Z11*100</f>
        <v>-14.2</v>
      </c>
      <c r="AA35" s="69">
        <f>+AA25/AA11*100</f>
        <v>7.4</v>
      </c>
    </row>
    <row r="36" spans="1:27" ht="11.25" customHeight="1">
      <c r="A36" s="7"/>
      <c r="B36" s="1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7.25" customHeight="1">
      <c r="A37" s="7"/>
      <c r="B37" s="13" t="s">
        <v>44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20" customFormat="1" ht="27.75" customHeight="1">
      <c r="A38" s="7"/>
      <c r="B38" s="147" t="s">
        <v>104</v>
      </c>
      <c r="C38" s="299"/>
      <c r="D38" s="299"/>
      <c r="E38" s="299"/>
      <c r="F38" s="299"/>
      <c r="G38" s="295">
        <v>7.06</v>
      </c>
      <c r="H38" s="148">
        <v>-2.1</v>
      </c>
      <c r="I38" s="148">
        <v>1.01</v>
      </c>
      <c r="J38" s="148">
        <v>-1.23</v>
      </c>
      <c r="K38" s="148">
        <v>-4.87</v>
      </c>
      <c r="L38" s="148">
        <v>-7.51</v>
      </c>
      <c r="M38" s="148">
        <v>1.63</v>
      </c>
      <c r="N38" s="148">
        <v>1.19</v>
      </c>
      <c r="O38" s="148">
        <v>1.73</v>
      </c>
      <c r="P38" s="148">
        <v>0.59</v>
      </c>
      <c r="Q38" s="148">
        <v>5.14</v>
      </c>
      <c r="R38" s="148">
        <v>1.66</v>
      </c>
      <c r="S38" s="148">
        <v>1.15</v>
      </c>
      <c r="T38" s="148">
        <v>0.48</v>
      </c>
      <c r="U38" s="148">
        <v>0.59</v>
      </c>
      <c r="V38" s="148">
        <v>3.93</v>
      </c>
      <c r="W38" s="148">
        <v>0.91</v>
      </c>
      <c r="X38" s="148">
        <v>0.48</v>
      </c>
      <c r="Y38" s="148">
        <v>0.54</v>
      </c>
      <c r="Z38" s="148">
        <v>-0.62</v>
      </c>
      <c r="AA38" s="148">
        <v>1.37</v>
      </c>
    </row>
    <row r="39" spans="1:27" s="20" customFormat="1" ht="18" customHeight="1" thickBot="1">
      <c r="A39" s="7"/>
      <c r="B39" s="65" t="s">
        <v>105</v>
      </c>
      <c r="C39" s="300"/>
      <c r="D39" s="300"/>
      <c r="E39" s="300"/>
      <c r="F39" s="300"/>
      <c r="G39" s="296">
        <v>7.07</v>
      </c>
      <c r="H39" s="149">
        <v>-2.1</v>
      </c>
      <c r="I39" s="149">
        <v>1</v>
      </c>
      <c r="J39" s="149">
        <v>-1.22</v>
      </c>
      <c r="K39" s="149">
        <v>-5.34</v>
      </c>
      <c r="L39" s="149">
        <v>-8.01</v>
      </c>
      <c r="M39" s="149">
        <v>1.6</v>
      </c>
      <c r="N39" s="149">
        <v>1.2</v>
      </c>
      <c r="O39" s="149">
        <v>1.88</v>
      </c>
      <c r="P39" s="149">
        <v>0.59</v>
      </c>
      <c r="Q39" s="149">
        <v>5.28</v>
      </c>
      <c r="R39" s="149">
        <v>1.64</v>
      </c>
      <c r="S39" s="149">
        <v>1.15</v>
      </c>
      <c r="T39" s="149">
        <v>0.48</v>
      </c>
      <c r="U39" s="149">
        <v>0.59</v>
      </c>
      <c r="V39" s="149">
        <v>3.91</v>
      </c>
      <c r="W39" s="149">
        <v>0.91</v>
      </c>
      <c r="X39" s="149">
        <v>0.48</v>
      </c>
      <c r="Y39" s="149">
        <v>0.54</v>
      </c>
      <c r="Z39" s="149">
        <v>-0.62</v>
      </c>
      <c r="AA39" s="149">
        <v>1.37</v>
      </c>
    </row>
    <row r="40" spans="1:27" s="20" customFormat="1" ht="17.25" customHeight="1">
      <c r="A40" s="7"/>
      <c r="B40" s="12"/>
      <c r="C40" s="301"/>
      <c r="D40" s="301"/>
      <c r="E40" s="301"/>
      <c r="F40" s="301"/>
      <c r="G40" s="297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</row>
    <row r="41" spans="1:27" s="20" customFormat="1" ht="27.75" customHeight="1">
      <c r="A41" s="7"/>
      <c r="B41" s="147" t="s">
        <v>106</v>
      </c>
      <c r="C41" s="299"/>
      <c r="D41" s="299"/>
      <c r="E41" s="299"/>
      <c r="F41" s="299"/>
      <c r="G41" s="295">
        <v>6.77</v>
      </c>
      <c r="H41" s="148">
        <v>-2.1</v>
      </c>
      <c r="I41" s="148">
        <v>0.98</v>
      </c>
      <c r="J41" s="148">
        <v>-1.23</v>
      </c>
      <c r="K41" s="148">
        <v>-4.87</v>
      </c>
      <c r="L41" s="148">
        <v>-7.51</v>
      </c>
      <c r="M41" s="148">
        <v>1.62</v>
      </c>
      <c r="N41" s="148">
        <v>1.17</v>
      </c>
      <c r="O41" s="148">
        <v>1.67</v>
      </c>
      <c r="P41" s="148">
        <v>0.56</v>
      </c>
      <c r="Q41" s="148">
        <v>5.01</v>
      </c>
      <c r="R41" s="148">
        <v>1.65</v>
      </c>
      <c r="S41" s="148">
        <v>1.15</v>
      </c>
      <c r="T41" s="148">
        <v>0.48</v>
      </c>
      <c r="U41" s="148">
        <v>0.59</v>
      </c>
      <c r="V41" s="148">
        <v>3.91</v>
      </c>
      <c r="W41" s="148">
        <v>0.9</v>
      </c>
      <c r="X41" s="148">
        <v>0.48</v>
      </c>
      <c r="Y41" s="148">
        <v>0.53</v>
      </c>
      <c r="Z41" s="148">
        <v>-0.62</v>
      </c>
      <c r="AA41" s="148">
        <v>1.36</v>
      </c>
    </row>
    <row r="42" spans="1:27" s="20" customFormat="1" ht="21" customHeight="1" thickBot="1">
      <c r="A42" s="7"/>
      <c r="B42" s="65" t="s">
        <v>107</v>
      </c>
      <c r="C42" s="300"/>
      <c r="D42" s="300"/>
      <c r="E42" s="300"/>
      <c r="F42" s="300"/>
      <c r="G42" s="296">
        <v>6.78</v>
      </c>
      <c r="H42" s="149">
        <v>-2.1</v>
      </c>
      <c r="I42" s="149">
        <v>0.97</v>
      </c>
      <c r="J42" s="149">
        <v>-1.22</v>
      </c>
      <c r="K42" s="149">
        <v>-5.34</v>
      </c>
      <c r="L42" s="149">
        <v>-8.01</v>
      </c>
      <c r="M42" s="149">
        <v>1.59</v>
      </c>
      <c r="N42" s="149">
        <v>1.18</v>
      </c>
      <c r="O42" s="149">
        <v>1.81</v>
      </c>
      <c r="P42" s="149">
        <v>0.56</v>
      </c>
      <c r="Q42" s="149">
        <v>5.14</v>
      </c>
      <c r="R42" s="149">
        <v>1.63</v>
      </c>
      <c r="S42" s="149">
        <v>1.15</v>
      </c>
      <c r="T42" s="149">
        <v>0.48</v>
      </c>
      <c r="U42" s="149">
        <v>0.59</v>
      </c>
      <c r="V42" s="149">
        <v>3.89</v>
      </c>
      <c r="W42" s="149">
        <v>0.9</v>
      </c>
      <c r="X42" s="149">
        <v>0.48</v>
      </c>
      <c r="Y42" s="149">
        <v>0.53</v>
      </c>
      <c r="Z42" s="149">
        <v>-0.62</v>
      </c>
      <c r="AA42" s="149">
        <v>1.36</v>
      </c>
    </row>
    <row r="43" spans="1:27" ht="17.25" customHeight="1">
      <c r="A43" s="7"/>
      <c r="B43" s="11"/>
      <c r="C43" s="16"/>
      <c r="D43" s="16"/>
      <c r="E43" s="16"/>
      <c r="F43" s="131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7.25" customHeight="1">
      <c r="A44" s="7"/>
      <c r="B44" s="13" t="s">
        <v>45</v>
      </c>
      <c r="C44" s="16"/>
      <c r="D44" s="16"/>
      <c r="E44" s="16"/>
      <c r="F44" s="131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7.25" customHeight="1">
      <c r="A45" s="7"/>
      <c r="B45" s="26" t="s">
        <v>46</v>
      </c>
      <c r="C45" s="123">
        <v>1359687</v>
      </c>
      <c r="D45" s="123">
        <v>1415174</v>
      </c>
      <c r="E45" s="123">
        <v>1376442</v>
      </c>
      <c r="F45" s="123">
        <v>1360680</v>
      </c>
      <c r="G45" s="50">
        <f>+F45</f>
        <v>1360680</v>
      </c>
      <c r="H45" s="123">
        <v>1207994</v>
      </c>
      <c r="I45" s="123">
        <v>1229825</v>
      </c>
      <c r="J45" s="123">
        <v>1393599</v>
      </c>
      <c r="K45" s="123">
        <v>1170350</v>
      </c>
      <c r="L45" s="50">
        <f aca="true" t="shared" si="29" ref="L45:L50">+K45</f>
        <v>1170350</v>
      </c>
      <c r="M45" s="123">
        <v>1156086</v>
      </c>
      <c r="N45" s="123">
        <v>1092904</v>
      </c>
      <c r="O45" s="76">
        <v>1064208</v>
      </c>
      <c r="P45" s="123">
        <v>1031427</v>
      </c>
      <c r="Q45" s="50">
        <f aca="true" t="shared" si="30" ref="Q45:Q50">+P45</f>
        <v>1031427</v>
      </c>
      <c r="R45" s="123">
        <v>1073803</v>
      </c>
      <c r="S45" s="123">
        <v>1137948</v>
      </c>
      <c r="T45" s="123">
        <v>1067388</v>
      </c>
      <c r="U45" s="123">
        <v>1032005</v>
      </c>
      <c r="V45" s="50">
        <f aca="true" t="shared" si="31" ref="V45:V50">+U45</f>
        <v>1032005</v>
      </c>
      <c r="W45" s="123">
        <v>1016468</v>
      </c>
      <c r="X45" s="123">
        <v>976923</v>
      </c>
      <c r="Y45" s="123">
        <v>1061521</v>
      </c>
      <c r="Z45" s="123">
        <v>1049165</v>
      </c>
      <c r="AA45" s="50">
        <f aca="true" t="shared" si="32" ref="AA45:AA50">+Z45</f>
        <v>1049165</v>
      </c>
    </row>
    <row r="46" spans="1:27" ht="17.25" customHeight="1">
      <c r="A46" s="7"/>
      <c r="B46" s="32" t="s">
        <v>47</v>
      </c>
      <c r="C46" s="123">
        <v>212831</v>
      </c>
      <c r="D46" s="123">
        <v>224222</v>
      </c>
      <c r="E46" s="123">
        <v>226959</v>
      </c>
      <c r="F46" s="123">
        <v>240534</v>
      </c>
      <c r="G46" s="50">
        <f>+F46</f>
        <v>240534</v>
      </c>
      <c r="H46" s="123">
        <v>229168</v>
      </c>
      <c r="I46" s="123">
        <v>234731</v>
      </c>
      <c r="J46" s="123">
        <v>248659</v>
      </c>
      <c r="K46" s="123">
        <v>235797</v>
      </c>
      <c r="L46" s="50">
        <f t="shared" si="29"/>
        <v>235797</v>
      </c>
      <c r="M46" s="123">
        <v>237510</v>
      </c>
      <c r="N46" s="123">
        <v>243191</v>
      </c>
      <c r="O46" s="123">
        <v>242186</v>
      </c>
      <c r="P46" s="123">
        <v>237180</v>
      </c>
      <c r="Q46" s="50">
        <f t="shared" si="30"/>
        <v>237180</v>
      </c>
      <c r="R46" s="123">
        <v>228741</v>
      </c>
      <c r="S46" s="123">
        <v>227205</v>
      </c>
      <c r="T46" s="123">
        <v>222660</v>
      </c>
      <c r="U46" s="123">
        <v>218842</v>
      </c>
      <c r="V46" s="50">
        <f t="shared" si="31"/>
        <v>218842</v>
      </c>
      <c r="W46" s="123">
        <v>222510</v>
      </c>
      <c r="X46" s="123">
        <v>220030</v>
      </c>
      <c r="Y46" s="123">
        <v>226447</v>
      </c>
      <c r="Z46" s="123">
        <v>233413</v>
      </c>
      <c r="AA46" s="50">
        <f t="shared" si="32"/>
        <v>233413</v>
      </c>
    </row>
    <row r="47" spans="1:27" ht="17.25" customHeight="1">
      <c r="A47" s="7"/>
      <c r="B47" s="32" t="s">
        <v>50</v>
      </c>
      <c r="C47" s="127">
        <v>44004</v>
      </c>
      <c r="D47" s="127">
        <v>43849</v>
      </c>
      <c r="E47" s="127">
        <v>41965</v>
      </c>
      <c r="F47" s="127">
        <v>43199</v>
      </c>
      <c r="G47" s="57">
        <f>+F47</f>
        <v>43199</v>
      </c>
      <c r="H47" s="127">
        <v>37639</v>
      </c>
      <c r="I47" s="127">
        <v>36848</v>
      </c>
      <c r="J47" s="127">
        <v>39023</v>
      </c>
      <c r="K47" s="127">
        <v>32302</v>
      </c>
      <c r="L47" s="57">
        <f t="shared" si="29"/>
        <v>32302</v>
      </c>
      <c r="M47" s="127">
        <v>36009</v>
      </c>
      <c r="N47" s="127">
        <v>36348</v>
      </c>
      <c r="O47" s="127">
        <v>38191</v>
      </c>
      <c r="P47" s="127">
        <v>37517</v>
      </c>
      <c r="Q47" s="57">
        <f t="shared" si="30"/>
        <v>37517</v>
      </c>
      <c r="R47" s="127">
        <v>36815</v>
      </c>
      <c r="S47" s="127">
        <v>35633</v>
      </c>
      <c r="T47" s="127">
        <v>34088</v>
      </c>
      <c r="U47" s="127">
        <v>33282</v>
      </c>
      <c r="V47" s="57">
        <f t="shared" si="31"/>
        <v>33282</v>
      </c>
      <c r="W47" s="127">
        <v>34057</v>
      </c>
      <c r="X47" s="127">
        <v>31216</v>
      </c>
      <c r="Y47" s="127">
        <v>33519</v>
      </c>
      <c r="Z47" s="127">
        <v>33674</v>
      </c>
      <c r="AA47" s="57">
        <f t="shared" si="32"/>
        <v>33674</v>
      </c>
    </row>
    <row r="48" spans="1:27" ht="17.25" customHeight="1">
      <c r="A48" s="7"/>
      <c r="B48" s="32" t="s">
        <v>48</v>
      </c>
      <c r="C48" s="123">
        <v>11043</v>
      </c>
      <c r="D48" s="123">
        <v>11094</v>
      </c>
      <c r="E48" s="123">
        <v>10677</v>
      </c>
      <c r="F48" s="123">
        <v>10882</v>
      </c>
      <c r="G48" s="50">
        <f>+F48</f>
        <v>10882</v>
      </c>
      <c r="H48" s="123">
        <v>9590</v>
      </c>
      <c r="I48" s="123">
        <v>9806</v>
      </c>
      <c r="J48" s="123">
        <v>10669</v>
      </c>
      <c r="K48" s="123">
        <v>9330</v>
      </c>
      <c r="L48" s="50">
        <f t="shared" si="29"/>
        <v>9330</v>
      </c>
      <c r="M48" s="123">
        <v>9901</v>
      </c>
      <c r="N48" s="123">
        <v>9609</v>
      </c>
      <c r="O48" s="123">
        <v>9312</v>
      </c>
      <c r="P48" s="123">
        <v>9267</v>
      </c>
      <c r="Q48" s="50">
        <f t="shared" si="30"/>
        <v>9267</v>
      </c>
      <c r="R48" s="123">
        <v>9399</v>
      </c>
      <c r="S48" s="123">
        <v>9582</v>
      </c>
      <c r="T48" s="123">
        <v>8874</v>
      </c>
      <c r="U48" s="123">
        <v>8585</v>
      </c>
      <c r="V48" s="50">
        <f t="shared" si="31"/>
        <v>8585</v>
      </c>
      <c r="W48" s="123">
        <v>8433</v>
      </c>
      <c r="X48" s="123">
        <v>7908</v>
      </c>
      <c r="Y48" s="123">
        <v>8361</v>
      </c>
      <c r="Z48" s="123">
        <v>8591</v>
      </c>
      <c r="AA48" s="50">
        <f t="shared" si="32"/>
        <v>8591</v>
      </c>
    </row>
    <row r="49" spans="1:27" ht="17.25" customHeight="1">
      <c r="A49" s="7"/>
      <c r="B49" s="32" t="s">
        <v>49</v>
      </c>
      <c r="C49" s="127">
        <v>492</v>
      </c>
      <c r="D49" s="127">
        <v>506</v>
      </c>
      <c r="E49" s="127">
        <v>507</v>
      </c>
      <c r="F49" s="127">
        <v>444</v>
      </c>
      <c r="G49" s="74">
        <f>+F49</f>
        <v>444</v>
      </c>
      <c r="H49" s="127">
        <v>532</v>
      </c>
      <c r="I49" s="127">
        <v>585</v>
      </c>
      <c r="J49" s="127">
        <v>568</v>
      </c>
      <c r="K49" s="127">
        <v>423</v>
      </c>
      <c r="L49" s="74">
        <f t="shared" si="29"/>
        <v>423</v>
      </c>
      <c r="M49" s="127">
        <v>404</v>
      </c>
      <c r="N49" s="127">
        <v>383</v>
      </c>
      <c r="O49" s="127">
        <v>359</v>
      </c>
      <c r="P49" s="127">
        <v>328</v>
      </c>
      <c r="Q49" s="74">
        <f t="shared" si="30"/>
        <v>328</v>
      </c>
      <c r="R49" s="127">
        <v>398</v>
      </c>
      <c r="S49" s="127">
        <v>377</v>
      </c>
      <c r="T49" s="127">
        <v>340</v>
      </c>
      <c r="U49" s="127">
        <v>312</v>
      </c>
      <c r="V49" s="74">
        <f t="shared" si="31"/>
        <v>312</v>
      </c>
      <c r="W49" s="127">
        <v>294</v>
      </c>
      <c r="X49" s="127">
        <v>281</v>
      </c>
      <c r="Y49" s="127">
        <v>269</v>
      </c>
      <c r="Z49" s="127">
        <v>288</v>
      </c>
      <c r="AA49" s="74">
        <f t="shared" si="32"/>
        <v>288</v>
      </c>
    </row>
    <row r="50" spans="1:27" ht="17.25" customHeight="1" thickBot="1">
      <c r="A50" s="7"/>
      <c r="B50" s="65" t="s">
        <v>51</v>
      </c>
      <c r="C50" s="70">
        <f aca="true" t="shared" si="33" ref="C50:H50">+C47-C48-C49</f>
        <v>32469</v>
      </c>
      <c r="D50" s="70">
        <f t="shared" si="33"/>
        <v>32249</v>
      </c>
      <c r="E50" s="70">
        <f t="shared" si="33"/>
        <v>30781</v>
      </c>
      <c r="F50" s="70">
        <f t="shared" si="33"/>
        <v>31873</v>
      </c>
      <c r="G50" s="70">
        <f t="shared" si="33"/>
        <v>31873</v>
      </c>
      <c r="H50" s="70">
        <f t="shared" si="33"/>
        <v>27517</v>
      </c>
      <c r="I50" s="70">
        <f>+I47-I48-I49</f>
        <v>26457</v>
      </c>
      <c r="J50" s="70">
        <f>+J47-J48-J49</f>
        <v>27786</v>
      </c>
      <c r="K50" s="70">
        <f>+K47-K48-K49</f>
        <v>22549</v>
      </c>
      <c r="L50" s="70">
        <f t="shared" si="29"/>
        <v>22549</v>
      </c>
      <c r="M50" s="70">
        <f>+M47-M48-M49</f>
        <v>25704</v>
      </c>
      <c r="N50" s="70">
        <f>+N47-N48-N49</f>
        <v>26356</v>
      </c>
      <c r="O50" s="70">
        <f>+O47-O48-O49</f>
        <v>28520</v>
      </c>
      <c r="P50" s="70">
        <f>+P47-P48-P49</f>
        <v>27922</v>
      </c>
      <c r="Q50" s="70">
        <f t="shared" si="30"/>
        <v>27922</v>
      </c>
      <c r="R50" s="70">
        <f>+R47-R48-R49</f>
        <v>27018</v>
      </c>
      <c r="S50" s="70">
        <f>+S47-S48-S49</f>
        <v>25674</v>
      </c>
      <c r="T50" s="70">
        <f>+T47-T48-T49</f>
        <v>24874</v>
      </c>
      <c r="U50" s="70">
        <f>+U47-U48-U49</f>
        <v>24385</v>
      </c>
      <c r="V50" s="70">
        <f t="shared" si="31"/>
        <v>24385</v>
      </c>
      <c r="W50" s="70">
        <f>+W47-W48-W49</f>
        <v>25330</v>
      </c>
      <c r="X50" s="70">
        <f>+X47-X48-X49</f>
        <v>23027</v>
      </c>
      <c r="Y50" s="70">
        <f>+Y47-Y48-Y49</f>
        <v>24889</v>
      </c>
      <c r="Z50" s="70">
        <f>+Z47-Z48-Z49</f>
        <v>24795</v>
      </c>
      <c r="AA50" s="70">
        <f t="shared" si="32"/>
        <v>24795</v>
      </c>
    </row>
    <row r="51" spans="1:27" ht="11.25" customHeight="1">
      <c r="A51" s="7"/>
      <c r="B51" s="11"/>
      <c r="C51" s="16"/>
      <c r="D51" s="16"/>
      <c r="E51" s="131"/>
      <c r="F51" s="131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7.25" customHeight="1">
      <c r="A52" s="7"/>
      <c r="B52" s="13" t="s">
        <v>52</v>
      </c>
      <c r="C52" s="16"/>
      <c r="D52" s="16"/>
      <c r="E52" s="131"/>
      <c r="F52" s="131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27.75" customHeight="1">
      <c r="A53" s="7"/>
      <c r="B53" s="172" t="s">
        <v>118</v>
      </c>
      <c r="C53" s="92">
        <v>25.2</v>
      </c>
      <c r="D53" s="92">
        <v>29.7</v>
      </c>
      <c r="E53" s="92">
        <v>12.4</v>
      </c>
      <c r="F53" s="92">
        <v>5.1</v>
      </c>
      <c r="G53" s="92">
        <v>18</v>
      </c>
      <c r="H53" s="92">
        <v>-20.8</v>
      </c>
      <c r="I53" s="92">
        <v>13.2</v>
      </c>
      <c r="J53" s="92">
        <v>-13.1</v>
      </c>
      <c r="K53" s="92">
        <v>-62</v>
      </c>
      <c r="L53" s="92">
        <v>-21.1</v>
      </c>
      <c r="M53" s="92">
        <v>22.6</v>
      </c>
      <c r="N53" s="92">
        <v>17.5</v>
      </c>
      <c r="O53" s="92">
        <v>25.1</v>
      </c>
      <c r="P53" s="92">
        <v>8.3</v>
      </c>
      <c r="Q53" s="92">
        <v>18.3</v>
      </c>
      <c r="R53" s="92">
        <v>22.3</v>
      </c>
      <c r="S53" s="92">
        <v>17.8</v>
      </c>
      <c r="T53" s="92">
        <v>7</v>
      </c>
      <c r="U53" s="92">
        <v>9.8</v>
      </c>
      <c r="V53" s="92">
        <v>14.4</v>
      </c>
      <c r="W53" s="92">
        <v>13.4</v>
      </c>
      <c r="X53" s="92">
        <v>9.7</v>
      </c>
      <c r="Y53" s="92">
        <v>8.7</v>
      </c>
      <c r="Z53" s="92">
        <v>-7.7</v>
      </c>
      <c r="AA53" s="92">
        <v>6</v>
      </c>
    </row>
    <row r="54" spans="1:27" ht="29.25" customHeight="1" thickBot="1">
      <c r="A54" s="7"/>
      <c r="B54" s="144" t="s">
        <v>119</v>
      </c>
      <c r="C54" s="129">
        <v>34.3</v>
      </c>
      <c r="D54" s="129">
        <v>40.6</v>
      </c>
      <c r="E54" s="129">
        <v>17.1</v>
      </c>
      <c r="F54" s="129">
        <v>6.9</v>
      </c>
      <c r="G54" s="129">
        <v>24.5</v>
      </c>
      <c r="H54" s="129">
        <v>-28.1</v>
      </c>
      <c r="I54" s="129">
        <v>18.5</v>
      </c>
      <c r="J54" s="129">
        <v>-18.2</v>
      </c>
      <c r="K54" s="129">
        <v>-87.5</v>
      </c>
      <c r="L54" s="129">
        <v>-29.3</v>
      </c>
      <c r="M54" s="129">
        <v>32</v>
      </c>
      <c r="N54" s="129">
        <v>24.4</v>
      </c>
      <c r="O54" s="129">
        <v>34.1</v>
      </c>
      <c r="P54" s="129">
        <v>11.1</v>
      </c>
      <c r="Q54" s="129">
        <v>25.1</v>
      </c>
      <c r="R54" s="129">
        <v>30.4</v>
      </c>
      <c r="S54" s="129">
        <v>24.8</v>
      </c>
      <c r="T54" s="129">
        <v>9.7</v>
      </c>
      <c r="U54" s="129">
        <v>13.4</v>
      </c>
      <c r="V54" s="129">
        <v>19.8</v>
      </c>
      <c r="W54" s="129">
        <v>18.1</v>
      </c>
      <c r="X54" s="129">
        <v>13.1</v>
      </c>
      <c r="Y54" s="129">
        <v>11.8</v>
      </c>
      <c r="Z54" s="129">
        <v>-10.4</v>
      </c>
      <c r="AA54" s="129">
        <v>8.1</v>
      </c>
    </row>
    <row r="55" spans="1:27" ht="17.25" customHeight="1">
      <c r="A55" s="7"/>
      <c r="B55" s="1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7.25" customHeight="1">
      <c r="A56" s="7"/>
      <c r="B56" s="13" t="s">
        <v>53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7.25" customHeight="1">
      <c r="A57" s="7"/>
      <c r="B57" s="26" t="s">
        <v>54</v>
      </c>
      <c r="C57" s="71">
        <f aca="true" t="shared" si="34" ref="C57:H57">+C47/C63</f>
        <v>41.97</v>
      </c>
      <c r="D57" s="71">
        <f t="shared" si="34"/>
        <v>41.9</v>
      </c>
      <c r="E57" s="71">
        <f t="shared" si="34"/>
        <v>41.12</v>
      </c>
      <c r="F57" s="71">
        <f t="shared" si="34"/>
        <v>42.33</v>
      </c>
      <c r="G57" s="71">
        <f t="shared" si="34"/>
        <v>42.33</v>
      </c>
      <c r="H57" s="71">
        <f t="shared" si="34"/>
        <v>37.14</v>
      </c>
      <c r="I57" s="71">
        <f aca="true" t="shared" si="35" ref="I57:N57">+I47/I63</f>
        <v>35.99</v>
      </c>
      <c r="J57" s="71">
        <f t="shared" si="35"/>
        <v>37.47</v>
      </c>
      <c r="K57" s="71">
        <f t="shared" si="35"/>
        <v>27.75</v>
      </c>
      <c r="L57" s="71">
        <f t="shared" si="35"/>
        <v>27.75</v>
      </c>
      <c r="M57" s="71">
        <f t="shared" si="35"/>
        <v>31.19</v>
      </c>
      <c r="N57" s="71">
        <f t="shared" si="35"/>
        <v>31.02</v>
      </c>
      <c r="O57" s="71">
        <f aca="true" t="shared" si="36" ref="O57:T57">+O47/O63</f>
        <v>32.63</v>
      </c>
      <c r="P57" s="71">
        <f t="shared" si="36"/>
        <v>32.09</v>
      </c>
      <c r="Q57" s="71">
        <f t="shared" si="36"/>
        <v>32.09</v>
      </c>
      <c r="R57" s="71">
        <f t="shared" si="36"/>
        <v>31.88</v>
      </c>
      <c r="S57" s="71">
        <f t="shared" si="36"/>
        <v>30.04</v>
      </c>
      <c r="T57" s="71">
        <f t="shared" si="36"/>
        <v>28.78</v>
      </c>
      <c r="U57" s="71">
        <f aca="true" t="shared" si="37" ref="U57:AA57">+U47/U63</f>
        <v>28.35</v>
      </c>
      <c r="V57" s="71">
        <f t="shared" si="37"/>
        <v>28.35</v>
      </c>
      <c r="W57" s="71">
        <f t="shared" si="37"/>
        <v>28.36</v>
      </c>
      <c r="X57" s="71">
        <f t="shared" si="37"/>
        <v>26.03</v>
      </c>
      <c r="Y57" s="71">
        <f t="shared" si="37"/>
        <v>27.86</v>
      </c>
      <c r="Z57" s="71">
        <f>+Z47/Z63</f>
        <v>27.59</v>
      </c>
      <c r="AA57" s="71">
        <f t="shared" si="37"/>
        <v>27.59</v>
      </c>
    </row>
    <row r="58" spans="1:27" ht="17.25" customHeight="1" thickBot="1">
      <c r="A58" s="7"/>
      <c r="B58" s="65" t="s">
        <v>55</v>
      </c>
      <c r="C58" s="72">
        <f>+C50/C63</f>
        <v>30.97</v>
      </c>
      <c r="D58" s="72">
        <f>+D50/D63</f>
        <v>30.82</v>
      </c>
      <c r="E58" s="72">
        <f>+E50/E63</f>
        <v>30.16</v>
      </c>
      <c r="F58" s="72">
        <f>+F50/F63</f>
        <v>31.23</v>
      </c>
      <c r="G58" s="79">
        <v>31.23</v>
      </c>
      <c r="H58" s="79">
        <v>27.15</v>
      </c>
      <c r="I58" s="79">
        <v>25.84</v>
      </c>
      <c r="J58" s="79">
        <v>26.68</v>
      </c>
      <c r="K58" s="79">
        <v>19.37</v>
      </c>
      <c r="L58" s="79">
        <v>19.37</v>
      </c>
      <c r="M58" s="79">
        <v>22.26</v>
      </c>
      <c r="N58" s="79">
        <v>22.49</v>
      </c>
      <c r="O58" s="79">
        <v>24.36</v>
      </c>
      <c r="P58" s="79">
        <v>23.88</v>
      </c>
      <c r="Q58" s="79">
        <v>23.88</v>
      </c>
      <c r="R58" s="79">
        <v>23.4</v>
      </c>
      <c r="S58" s="79">
        <v>21.65</v>
      </c>
      <c r="T58" s="79">
        <v>21</v>
      </c>
      <c r="U58" s="79">
        <v>20.77</v>
      </c>
      <c r="V58" s="79">
        <v>20.77</v>
      </c>
      <c r="W58" s="79">
        <v>21.1</v>
      </c>
      <c r="X58" s="79">
        <v>19.21</v>
      </c>
      <c r="Y58" s="79">
        <v>20.69</v>
      </c>
      <c r="Z58" s="79">
        <v>20.32</v>
      </c>
      <c r="AA58" s="79">
        <v>20.32</v>
      </c>
    </row>
    <row r="59" spans="1:27" ht="13.5" customHeight="1">
      <c r="A59" s="7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7.25" customHeight="1">
      <c r="A60" s="7"/>
      <c r="B60" s="13" t="s">
        <v>56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7.25" customHeight="1">
      <c r="A61" s="7"/>
      <c r="B61" s="26" t="s">
        <v>67</v>
      </c>
      <c r="C61" s="92">
        <v>1215.5</v>
      </c>
      <c r="D61" s="92">
        <v>1215.9</v>
      </c>
      <c r="E61" s="92">
        <v>1162.2</v>
      </c>
      <c r="F61" s="92">
        <v>1162.4</v>
      </c>
      <c r="G61" s="64">
        <f>+F61</f>
        <v>1162.4</v>
      </c>
      <c r="H61" s="92">
        <v>1162.5</v>
      </c>
      <c r="I61" s="92">
        <v>1174.2</v>
      </c>
      <c r="J61" s="92">
        <v>1134.2</v>
      </c>
      <c r="K61" s="92">
        <v>1184.6</v>
      </c>
      <c r="L61" s="64">
        <f>+K61</f>
        <v>1184.6</v>
      </c>
      <c r="M61" s="92">
        <v>1184.6</v>
      </c>
      <c r="N61" s="92">
        <v>1184.8</v>
      </c>
      <c r="O61" s="92">
        <v>1185</v>
      </c>
      <c r="P61" s="92">
        <v>1185.4</v>
      </c>
      <c r="Q61" s="64">
        <f>+P61</f>
        <v>1185.4</v>
      </c>
      <c r="R61" s="92">
        <v>1185.8</v>
      </c>
      <c r="S61" s="92">
        <v>1186.1</v>
      </c>
      <c r="T61" s="92">
        <v>1186.1</v>
      </c>
      <c r="U61" s="92">
        <v>1186.1</v>
      </c>
      <c r="V61" s="64">
        <f>+U61</f>
        <v>1186.1</v>
      </c>
      <c r="W61" s="92">
        <v>1201</v>
      </c>
      <c r="X61" s="92">
        <v>1202.2</v>
      </c>
      <c r="Y61" s="92">
        <v>1203</v>
      </c>
      <c r="Z61" s="92">
        <v>1224.3</v>
      </c>
      <c r="AA61" s="64">
        <f>+Z61</f>
        <v>1224.3</v>
      </c>
    </row>
    <row r="62" spans="1:27" ht="17.25" customHeight="1">
      <c r="A62" s="7"/>
      <c r="B62" s="34" t="s">
        <v>156</v>
      </c>
      <c r="C62" s="81">
        <v>-167</v>
      </c>
      <c r="D62" s="81">
        <v>-169.4</v>
      </c>
      <c r="E62" s="81">
        <v>-141.6</v>
      </c>
      <c r="F62" s="81">
        <v>-141.8</v>
      </c>
      <c r="G62" s="61">
        <f>+F62</f>
        <v>-141.8</v>
      </c>
      <c r="H62" s="81">
        <v>-149</v>
      </c>
      <c r="I62" s="81">
        <v>-150.5</v>
      </c>
      <c r="J62" s="81">
        <v>-92.8</v>
      </c>
      <c r="K62" s="81">
        <v>-20.7</v>
      </c>
      <c r="L62" s="61">
        <f>+K62</f>
        <v>-20.7</v>
      </c>
      <c r="M62" s="81">
        <v>-30</v>
      </c>
      <c r="N62" s="81">
        <v>-13.2</v>
      </c>
      <c r="O62" s="81">
        <v>-14.6</v>
      </c>
      <c r="P62" s="81">
        <v>-16.2</v>
      </c>
      <c r="Q62" s="61">
        <f>+P62</f>
        <v>-16.2</v>
      </c>
      <c r="R62" s="81">
        <v>-30.9</v>
      </c>
      <c r="S62" s="81">
        <v>0</v>
      </c>
      <c r="T62" s="81">
        <v>-1.8</v>
      </c>
      <c r="U62" s="81">
        <v>-12.2</v>
      </c>
      <c r="V62" s="61">
        <f>+U62</f>
        <v>-12.2</v>
      </c>
      <c r="W62" s="81">
        <v>0</v>
      </c>
      <c r="X62" s="81">
        <v>-3.1</v>
      </c>
      <c r="Y62" s="81">
        <v>0</v>
      </c>
      <c r="Z62" s="81">
        <v>-4</v>
      </c>
      <c r="AA62" s="61">
        <f>+Z62</f>
        <v>-4</v>
      </c>
    </row>
    <row r="63" spans="1:27" ht="17.25" customHeight="1" thickBot="1">
      <c r="A63" s="7"/>
      <c r="B63" s="65" t="s">
        <v>57</v>
      </c>
      <c r="C63" s="129">
        <v>1048.5</v>
      </c>
      <c r="D63" s="129">
        <v>1046.5</v>
      </c>
      <c r="E63" s="129">
        <v>1020.6</v>
      </c>
      <c r="F63" s="129">
        <v>1020.6</v>
      </c>
      <c r="G63" s="69">
        <f>SUM(G61:G62)</f>
        <v>1020.6</v>
      </c>
      <c r="H63" s="69">
        <f>SUM(H61:H62)</f>
        <v>1013.5</v>
      </c>
      <c r="I63" s="69">
        <f>SUM(I61:I62)</f>
        <v>1023.7</v>
      </c>
      <c r="J63" s="69">
        <f>SUM(J61:J62)</f>
        <v>1041.4</v>
      </c>
      <c r="K63" s="69">
        <f>SUM(K61:K62)</f>
        <v>1163.9</v>
      </c>
      <c r="L63" s="69">
        <f>+K63</f>
        <v>1163.9</v>
      </c>
      <c r="M63" s="69">
        <f>SUM(M61:M62)</f>
        <v>1154.6</v>
      </c>
      <c r="N63" s="69">
        <f>SUM(N61:N62)</f>
        <v>1171.6</v>
      </c>
      <c r="O63" s="69">
        <f>SUM(O61:O62)</f>
        <v>1170.4</v>
      </c>
      <c r="P63" s="69">
        <f>SUM(P61:P62)</f>
        <v>1169.2</v>
      </c>
      <c r="Q63" s="69">
        <f>+P63</f>
        <v>1169.2</v>
      </c>
      <c r="R63" s="69">
        <f>SUM(R61:R62)</f>
        <v>1154.9</v>
      </c>
      <c r="S63" s="69">
        <f>SUM(S61:S62)</f>
        <v>1186.1</v>
      </c>
      <c r="T63" s="69">
        <f>SUM(T61:T62)</f>
        <v>1184.3</v>
      </c>
      <c r="U63" s="69">
        <f>SUM(U61:U62)</f>
        <v>1173.9</v>
      </c>
      <c r="V63" s="69">
        <f>+U63</f>
        <v>1173.9</v>
      </c>
      <c r="W63" s="69">
        <f>SUM(W61:W62)</f>
        <v>1201</v>
      </c>
      <c r="X63" s="69">
        <f>SUM(X61:X62)</f>
        <v>1199.1</v>
      </c>
      <c r="Y63" s="69">
        <f>SUM(Y61:Y62)</f>
        <v>1203</v>
      </c>
      <c r="Z63" s="69">
        <f>SUM(Z61:Z62)</f>
        <v>1220.3</v>
      </c>
      <c r="AA63" s="69">
        <f>+Z63</f>
        <v>1220.3</v>
      </c>
    </row>
    <row r="64" spans="1:27" ht="17.25" customHeight="1">
      <c r="A64" s="7"/>
      <c r="B64" s="11"/>
      <c r="C64" s="16"/>
      <c r="D64" s="16"/>
      <c r="E64" s="131"/>
      <c r="F64" s="131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7.25" customHeight="1">
      <c r="A65" s="7"/>
      <c r="B65" s="13" t="s">
        <v>172</v>
      </c>
      <c r="C65" s="16"/>
      <c r="D65" s="16"/>
      <c r="E65" s="131"/>
      <c r="F65" s="131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7.25" customHeight="1">
      <c r="A66" s="7"/>
      <c r="B66" s="26" t="s">
        <v>58</v>
      </c>
      <c r="C66" s="123">
        <v>271293</v>
      </c>
      <c r="D66" s="123">
        <v>296416</v>
      </c>
      <c r="E66" s="123">
        <v>298688</v>
      </c>
      <c r="F66" s="27">
        <v>312068</v>
      </c>
      <c r="G66" s="27">
        <v>312068</v>
      </c>
      <c r="H66" s="123">
        <v>301009</v>
      </c>
      <c r="I66" s="123">
        <v>301817</v>
      </c>
      <c r="J66" s="123">
        <v>308142</v>
      </c>
      <c r="K66" s="123">
        <v>257467</v>
      </c>
      <c r="L66" s="102">
        <f>+K66</f>
        <v>257467</v>
      </c>
      <c r="M66" s="123">
        <v>260831</v>
      </c>
      <c r="N66" s="123">
        <v>234884</v>
      </c>
      <c r="O66" s="123">
        <v>221983</v>
      </c>
      <c r="P66" s="123">
        <v>221609</v>
      </c>
      <c r="Q66" s="102">
        <v>221609</v>
      </c>
      <c r="R66" s="123">
        <v>229111</v>
      </c>
      <c r="S66" s="123">
        <v>232964</v>
      </c>
      <c r="T66" s="123">
        <v>227683</v>
      </c>
      <c r="U66" s="123">
        <v>218702</v>
      </c>
      <c r="V66" s="102">
        <f>U66</f>
        <v>218702</v>
      </c>
      <c r="W66" s="123">
        <v>212196</v>
      </c>
      <c r="X66" s="123">
        <v>203741</v>
      </c>
      <c r="Y66" s="123">
        <v>210138</v>
      </c>
      <c r="Z66" s="123">
        <v>241753</v>
      </c>
      <c r="AA66" s="102">
        <f>Z66</f>
        <v>241753</v>
      </c>
    </row>
    <row r="67" spans="1:27" ht="17.25" customHeight="1">
      <c r="A67" s="7"/>
      <c r="B67" s="26" t="s">
        <v>59</v>
      </c>
      <c r="C67" s="123">
        <v>35841</v>
      </c>
      <c r="D67" s="123">
        <v>38617</v>
      </c>
      <c r="E67" s="123">
        <v>35888</v>
      </c>
      <c r="F67" s="27">
        <v>34737</v>
      </c>
      <c r="G67" s="27">
        <v>34737</v>
      </c>
      <c r="H67" s="123">
        <v>29361</v>
      </c>
      <c r="I67" s="123">
        <v>30795</v>
      </c>
      <c r="J67" s="123">
        <v>32170</v>
      </c>
      <c r="K67" s="123">
        <v>34208</v>
      </c>
      <c r="L67" s="102">
        <f>+K67</f>
        <v>34208</v>
      </c>
      <c r="M67" s="123">
        <v>36744</v>
      </c>
      <c r="N67" s="123">
        <v>36389</v>
      </c>
      <c r="O67" s="123">
        <v>36457</v>
      </c>
      <c r="P67" s="123">
        <v>36207</v>
      </c>
      <c r="Q67" s="102">
        <v>36207</v>
      </c>
      <c r="R67" s="123">
        <v>37467</v>
      </c>
      <c r="S67" s="123">
        <v>37990</v>
      </c>
      <c r="T67" s="123">
        <v>37928</v>
      </c>
      <c r="U67" s="123">
        <v>37725</v>
      </c>
      <c r="V67" s="102">
        <f>U67</f>
        <v>37725</v>
      </c>
      <c r="W67" s="123">
        <v>38514</v>
      </c>
      <c r="X67" s="123">
        <v>37076</v>
      </c>
      <c r="Y67" s="123">
        <v>37124</v>
      </c>
      <c r="Z67" s="123">
        <v>36844</v>
      </c>
      <c r="AA67" s="102">
        <f>Z67</f>
        <v>36844</v>
      </c>
    </row>
    <row r="68" spans="1:27" ht="17.25" customHeight="1" thickBot="1">
      <c r="A68" s="7"/>
      <c r="B68" s="65" t="s">
        <v>103</v>
      </c>
      <c r="C68" s="128">
        <v>35841</v>
      </c>
      <c r="D68" s="128">
        <v>38617</v>
      </c>
      <c r="E68" s="128">
        <v>35888</v>
      </c>
      <c r="F68" s="67">
        <v>45102</v>
      </c>
      <c r="G68" s="67">
        <v>45102</v>
      </c>
      <c r="H68" s="128">
        <v>41077</v>
      </c>
      <c r="I68" s="128">
        <v>43145</v>
      </c>
      <c r="J68" s="128">
        <v>44891</v>
      </c>
      <c r="K68" s="128">
        <v>46090</v>
      </c>
      <c r="L68" s="152">
        <f>+K68</f>
        <v>46090</v>
      </c>
      <c r="M68" s="128">
        <v>48680</v>
      </c>
      <c r="N68" s="128">
        <v>46992</v>
      </c>
      <c r="O68" s="128">
        <v>46500</v>
      </c>
      <c r="P68" s="128">
        <v>45728</v>
      </c>
      <c r="Q68" s="152">
        <v>45728</v>
      </c>
      <c r="R68" s="128">
        <v>49543</v>
      </c>
      <c r="S68" s="128">
        <v>50794</v>
      </c>
      <c r="T68" s="128">
        <v>49863</v>
      </c>
      <c r="U68" s="128">
        <v>47799</v>
      </c>
      <c r="V68" s="152">
        <f>U68</f>
        <v>47799</v>
      </c>
      <c r="W68" s="128">
        <v>50259</v>
      </c>
      <c r="X68" s="128">
        <v>48088</v>
      </c>
      <c r="Y68" s="128">
        <v>49450</v>
      </c>
      <c r="Z68" s="128">
        <v>48654</v>
      </c>
      <c r="AA68" s="152">
        <f>Z68</f>
        <v>48654</v>
      </c>
    </row>
    <row r="69" spans="1:27" ht="17.25" customHeight="1">
      <c r="A69" s="7"/>
      <c r="B69" s="11"/>
      <c r="C69" s="16"/>
      <c r="D69" s="131"/>
      <c r="E69" s="131"/>
      <c r="F69" s="16"/>
      <c r="G69" s="16"/>
      <c r="H69" s="131"/>
      <c r="I69" s="16"/>
      <c r="J69" s="16"/>
      <c r="K69" s="16"/>
      <c r="L69" s="16"/>
      <c r="M69" s="131"/>
      <c r="N69" s="131"/>
      <c r="O69" s="131"/>
      <c r="P69" s="16"/>
      <c r="Q69" s="16"/>
      <c r="R69" s="131"/>
      <c r="S69" s="131"/>
      <c r="T69" s="131"/>
      <c r="U69" s="16"/>
      <c r="V69" s="16"/>
      <c r="W69" s="131"/>
      <c r="X69" s="131"/>
      <c r="Y69" s="131"/>
      <c r="Z69" s="131"/>
      <c r="AA69" s="16"/>
    </row>
    <row r="70" spans="1:27" ht="17.25" customHeight="1">
      <c r="A70" s="7"/>
      <c r="B70" s="26" t="s">
        <v>60</v>
      </c>
      <c r="C70" s="92">
        <v>13.2</v>
      </c>
      <c r="D70" s="92">
        <v>13</v>
      </c>
      <c r="E70" s="92">
        <v>12</v>
      </c>
      <c r="F70" s="28">
        <v>11.1</v>
      </c>
      <c r="G70" s="28">
        <v>11.1</v>
      </c>
      <c r="H70" s="92">
        <v>9.8</v>
      </c>
      <c r="I70" s="92">
        <v>10.2</v>
      </c>
      <c r="J70" s="92">
        <v>10.4</v>
      </c>
      <c r="K70" s="92">
        <v>13.3</v>
      </c>
      <c r="L70" s="153">
        <f>+K70</f>
        <v>13.3</v>
      </c>
      <c r="M70" s="92">
        <v>14.1</v>
      </c>
      <c r="N70" s="92">
        <v>15.5</v>
      </c>
      <c r="O70" s="92">
        <v>16.4</v>
      </c>
      <c r="P70" s="92">
        <v>16.3</v>
      </c>
      <c r="Q70" s="153">
        <v>16.3</v>
      </c>
      <c r="R70" s="92">
        <v>16.4</v>
      </c>
      <c r="S70" s="92">
        <v>16.3</v>
      </c>
      <c r="T70" s="92">
        <v>16.7</v>
      </c>
      <c r="U70" s="92">
        <v>17.2</v>
      </c>
      <c r="V70" s="153">
        <v>17.2</v>
      </c>
      <c r="W70" s="92">
        <v>18.2</v>
      </c>
      <c r="X70" s="92">
        <v>18.2</v>
      </c>
      <c r="Y70" s="92">
        <v>17.7</v>
      </c>
      <c r="Z70" s="92">
        <v>15.2</v>
      </c>
      <c r="AA70" s="419">
        <f>Z70</f>
        <v>15.2</v>
      </c>
    </row>
    <row r="71" spans="1:27" ht="17.25" customHeight="1" thickBot="1">
      <c r="A71" s="7"/>
      <c r="B71" s="65" t="s">
        <v>61</v>
      </c>
      <c r="C71" s="129">
        <v>17.3</v>
      </c>
      <c r="D71" s="129">
        <v>16.3</v>
      </c>
      <c r="E71" s="129">
        <v>15.3</v>
      </c>
      <c r="F71" s="66">
        <v>14.5</v>
      </c>
      <c r="G71" s="66">
        <v>14.5</v>
      </c>
      <c r="H71" s="129">
        <v>13.6</v>
      </c>
      <c r="I71" s="129">
        <v>14.3</v>
      </c>
      <c r="J71" s="129">
        <v>14.6</v>
      </c>
      <c r="K71" s="129">
        <v>17.9</v>
      </c>
      <c r="L71" s="154">
        <f>+K71</f>
        <v>17.9</v>
      </c>
      <c r="M71" s="129">
        <v>18.7</v>
      </c>
      <c r="N71" s="129">
        <v>20</v>
      </c>
      <c r="O71" s="129">
        <v>20.9</v>
      </c>
      <c r="P71" s="129">
        <v>20.6</v>
      </c>
      <c r="Q71" s="154">
        <v>20.6</v>
      </c>
      <c r="R71" s="129">
        <v>21.6</v>
      </c>
      <c r="S71" s="129">
        <v>21.8</v>
      </c>
      <c r="T71" s="129">
        <v>21.9</v>
      </c>
      <c r="U71" s="129">
        <v>21.9</v>
      </c>
      <c r="V71" s="154">
        <v>21.9</v>
      </c>
      <c r="W71" s="129">
        <v>23.7</v>
      </c>
      <c r="X71" s="129">
        <v>23.6</v>
      </c>
      <c r="Y71" s="129">
        <v>23.5</v>
      </c>
      <c r="Z71" s="129">
        <v>20.1</v>
      </c>
      <c r="AA71" s="420">
        <f>Z71</f>
        <v>20.1</v>
      </c>
    </row>
    <row r="72" spans="1:27" ht="17.25" customHeight="1">
      <c r="A72" s="7"/>
      <c r="B72" s="21"/>
      <c r="C72" s="130"/>
      <c r="D72" s="130"/>
      <c r="E72" s="130"/>
      <c r="F72" s="130"/>
      <c r="G72" s="22"/>
      <c r="H72" s="130"/>
      <c r="I72" s="130"/>
      <c r="J72" s="130"/>
      <c r="K72" s="130"/>
      <c r="L72" s="22"/>
      <c r="M72" s="130"/>
      <c r="N72" s="130"/>
      <c r="O72" s="130"/>
      <c r="P72" s="130"/>
      <c r="Q72" s="22"/>
      <c r="R72" s="130"/>
      <c r="S72" s="130"/>
      <c r="T72" s="130"/>
      <c r="U72" s="130"/>
      <c r="V72" s="22"/>
      <c r="W72" s="130"/>
      <c r="X72" s="130"/>
      <c r="Y72" s="130"/>
      <c r="Z72" s="130"/>
      <c r="AA72" s="22"/>
    </row>
    <row r="73" spans="1:27" ht="17.25" customHeight="1">
      <c r="A73" s="7"/>
      <c r="B73" s="13" t="s">
        <v>63</v>
      </c>
      <c r="C73" s="131"/>
      <c r="D73" s="131"/>
      <c r="E73" s="131"/>
      <c r="F73" s="131"/>
      <c r="G73" s="16"/>
      <c r="H73" s="131"/>
      <c r="I73" s="131"/>
      <c r="J73" s="131"/>
      <c r="K73" s="131"/>
      <c r="L73" s="16"/>
      <c r="M73" s="131"/>
      <c r="N73" s="131"/>
      <c r="O73" s="131"/>
      <c r="P73" s="131"/>
      <c r="Q73" s="16"/>
      <c r="R73" s="131"/>
      <c r="S73" s="131"/>
      <c r="T73" s="131"/>
      <c r="U73" s="131"/>
      <c r="V73" s="16"/>
      <c r="W73" s="131"/>
      <c r="X73" s="131"/>
      <c r="Y73" s="131"/>
      <c r="Z73" s="131"/>
      <c r="AA73" s="16"/>
    </row>
    <row r="74" spans="1:27" ht="17.25" customHeight="1" thickBot="1">
      <c r="A74" s="7"/>
      <c r="B74" s="65" t="s">
        <v>64</v>
      </c>
      <c r="C74" s="70">
        <f>+'Core Results'!C45</f>
        <v>45300</v>
      </c>
      <c r="D74" s="70">
        <f>+'Core Results'!D45</f>
        <v>45600</v>
      </c>
      <c r="E74" s="70">
        <f>+'Core Results'!E45</f>
        <v>47200</v>
      </c>
      <c r="F74" s="70">
        <f>+'Core Results'!F45</f>
        <v>48100</v>
      </c>
      <c r="G74" s="70">
        <f>+'Core Results'!G45</f>
        <v>48100</v>
      </c>
      <c r="H74" s="70">
        <f>+'Core Results'!H45</f>
        <v>48700</v>
      </c>
      <c r="I74" s="70">
        <f>+'Core Results'!I45</f>
        <v>49000</v>
      </c>
      <c r="J74" s="70">
        <f>+'Core Results'!J45</f>
        <v>50300</v>
      </c>
      <c r="K74" s="70">
        <f>+'Core Results'!K45</f>
        <v>47800</v>
      </c>
      <c r="L74" s="70">
        <f>+'Core Results'!L45</f>
        <v>47800</v>
      </c>
      <c r="M74" s="70">
        <f>+'Core Results'!M45</f>
        <v>46700</v>
      </c>
      <c r="N74" s="70">
        <f>+'Core Results'!N45</f>
        <v>46700</v>
      </c>
      <c r="O74" s="70">
        <f>+'Core Results'!O45</f>
        <v>47400</v>
      </c>
      <c r="P74" s="70">
        <f>+'Core Results'!P45</f>
        <v>47600</v>
      </c>
      <c r="Q74" s="70">
        <f>+'Core Results'!Q45</f>
        <v>47600</v>
      </c>
      <c r="R74" s="70">
        <f>+'Core Results'!R45</f>
        <v>48300</v>
      </c>
      <c r="S74" s="70">
        <f>+'Core Results'!S45</f>
        <v>49200</v>
      </c>
      <c r="T74" s="70">
        <f>+'Core Results'!T45</f>
        <v>50500</v>
      </c>
      <c r="U74" s="70">
        <f>+'Core Results'!U45</f>
        <v>50100</v>
      </c>
      <c r="V74" s="70">
        <f>+'Core Results'!V45</f>
        <v>50100</v>
      </c>
      <c r="W74" s="70">
        <f>+'Core Results'!W45</f>
        <v>50100</v>
      </c>
      <c r="X74" s="70">
        <f>+'Core Results'!X45</f>
        <v>50700</v>
      </c>
      <c r="Y74" s="70">
        <f>+'Core Results'!Y45</f>
        <v>50700</v>
      </c>
      <c r="Z74" s="70">
        <v>49700</v>
      </c>
      <c r="AA74" s="70">
        <v>49700</v>
      </c>
    </row>
    <row r="75" spans="1:27" ht="11.25" customHeight="1">
      <c r="A75" s="7"/>
      <c r="B75" s="11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7.2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1.25" customHeight="1">
      <c r="A77" s="7"/>
      <c r="B77" s="1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s="20" customFormat="1" ht="17.25" customHeight="1">
      <c r="A78" s="288" t="s">
        <v>110</v>
      </c>
      <c r="B78" s="12" t="s">
        <v>125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s="20" customFormat="1" ht="20.25" customHeight="1">
      <c r="A79" s="288" t="s">
        <v>117</v>
      </c>
      <c r="B79" s="12" t="s">
        <v>227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8" r:id="rId1"/>
  <headerFooter alignWithMargins="0">
    <oddFooter>&amp;C&amp;A</oddFooter>
  </headerFooter>
  <rowBreaks count="1" manualBreakCount="1">
    <brk id="36" max="255" man="1"/>
  </rowBreaks>
  <ignoredErrors>
    <ignoredError sqref="Q11 Q16:Q17 G17:G18 G20 G23 L23 L20 L16:L18 G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02"/>
  <sheetViews>
    <sheetView showGridLines="0" zoomScale="80" zoomScaleNormal="80" zoomScalePageLayoutView="0" workbookViewId="0" topLeftCell="A1">
      <pane xSplit="2" ySplit="2" topLeftCell="L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4" width="11.57421875" style="1" customWidth="1"/>
    <col min="25" max="26" width="11.7109375" style="1" customWidth="1"/>
    <col min="27" max="27" width="11.57421875" style="1" customWidth="1"/>
    <col min="28" max="16384" width="1.7109375" style="1" customWidth="1"/>
  </cols>
  <sheetData>
    <row r="1" spans="1:27" ht="21.75" customHeight="1">
      <c r="A1" s="2"/>
      <c r="B1" s="423" t="s">
        <v>187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7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20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" customHeight="1" thickTop="1">
      <c r="A5" s="7"/>
      <c r="B5" s="33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</row>
    <row r="6" spans="1:27" ht="15" customHeight="1">
      <c r="A6" s="7"/>
      <c r="B6" s="13" t="s">
        <v>113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20" customFormat="1" ht="17.25" customHeight="1" thickBot="1">
      <c r="A7" s="7"/>
      <c r="B7" s="30" t="s">
        <v>14</v>
      </c>
      <c r="C7" s="120">
        <v>661</v>
      </c>
      <c r="D7" s="120">
        <v>789</v>
      </c>
      <c r="E7" s="120">
        <v>515</v>
      </c>
      <c r="F7" s="120">
        <v>425</v>
      </c>
      <c r="G7" s="47">
        <f aca="true" t="shared" si="0" ref="G7:G14">SUM(C7:F7)</f>
        <v>2390</v>
      </c>
      <c r="H7" s="120">
        <v>-46</v>
      </c>
      <c r="I7" s="120">
        <v>660</v>
      </c>
      <c r="J7" s="120">
        <v>374</v>
      </c>
      <c r="K7" s="120">
        <v>-356</v>
      </c>
      <c r="L7" s="47">
        <f aca="true" t="shared" si="1" ref="L7:L14">SUM(H7:K7)</f>
        <v>632</v>
      </c>
      <c r="M7" s="120">
        <v>6</v>
      </c>
      <c r="N7" s="120">
        <v>434</v>
      </c>
      <c r="O7" s="120">
        <v>765</v>
      </c>
      <c r="P7" s="120">
        <v>637</v>
      </c>
      <c r="Q7" s="47">
        <f aca="true" t="shared" si="2" ref="Q7:Q14">SUM(M7:P7)</f>
        <v>1842</v>
      </c>
      <c r="R7" s="120">
        <v>631</v>
      </c>
      <c r="S7" s="120">
        <v>502</v>
      </c>
      <c r="T7" s="120">
        <v>582</v>
      </c>
      <c r="U7" s="120">
        <v>617</v>
      </c>
      <c r="V7" s="47">
        <f aca="true" t="shared" si="3" ref="V7:V14">SUM(R7:U7)</f>
        <v>2332</v>
      </c>
      <c r="W7" s="120">
        <v>591</v>
      </c>
      <c r="X7" s="120">
        <v>629</v>
      </c>
      <c r="Y7" s="120">
        <v>471</v>
      </c>
      <c r="Z7" s="120">
        <v>455</v>
      </c>
      <c r="AA7" s="47">
        <f aca="true" t="shared" si="4" ref="AA7:AA14">SUM(W7:Z7)</f>
        <v>2146</v>
      </c>
    </row>
    <row r="8" spans="1:27" s="20" customFormat="1" ht="17.25" customHeight="1" thickBot="1">
      <c r="A8" s="7"/>
      <c r="B8" s="30" t="s">
        <v>15</v>
      </c>
      <c r="C8" s="120">
        <v>0</v>
      </c>
      <c r="D8" s="120">
        <v>0</v>
      </c>
      <c r="E8" s="120">
        <v>0</v>
      </c>
      <c r="F8" s="120">
        <v>0</v>
      </c>
      <c r="G8" s="47">
        <f t="shared" si="0"/>
        <v>0</v>
      </c>
      <c r="H8" s="120">
        <v>0</v>
      </c>
      <c r="I8" s="120">
        <v>0</v>
      </c>
      <c r="J8" s="120">
        <v>0</v>
      </c>
      <c r="K8" s="120">
        <v>0</v>
      </c>
      <c r="L8" s="47">
        <f t="shared" si="1"/>
        <v>0</v>
      </c>
      <c r="M8" s="120">
        <v>0</v>
      </c>
      <c r="N8" s="120">
        <v>0</v>
      </c>
      <c r="O8" s="120">
        <v>0</v>
      </c>
      <c r="P8" s="120">
        <v>0</v>
      </c>
      <c r="Q8" s="47">
        <f t="shared" si="2"/>
        <v>0</v>
      </c>
      <c r="R8" s="120">
        <v>0</v>
      </c>
      <c r="S8" s="120">
        <v>0</v>
      </c>
      <c r="T8" s="120">
        <v>0</v>
      </c>
      <c r="U8" s="120">
        <v>0</v>
      </c>
      <c r="V8" s="47">
        <f t="shared" si="3"/>
        <v>0</v>
      </c>
      <c r="W8" s="120">
        <v>0</v>
      </c>
      <c r="X8" s="120">
        <v>0</v>
      </c>
      <c r="Y8" s="120">
        <v>0</v>
      </c>
      <c r="Z8" s="120">
        <v>0</v>
      </c>
      <c r="AA8" s="47">
        <f t="shared" si="4"/>
        <v>0</v>
      </c>
    </row>
    <row r="9" spans="1:27" s="20" customFormat="1" ht="17.25" customHeight="1">
      <c r="A9" s="7"/>
      <c r="B9" s="32" t="s">
        <v>16</v>
      </c>
      <c r="C9" s="134">
        <v>316</v>
      </c>
      <c r="D9" s="134">
        <v>335</v>
      </c>
      <c r="E9" s="134">
        <v>291</v>
      </c>
      <c r="F9" s="134">
        <v>344</v>
      </c>
      <c r="G9" s="59">
        <f t="shared" si="0"/>
        <v>1286</v>
      </c>
      <c r="H9" s="134">
        <v>318</v>
      </c>
      <c r="I9" s="134">
        <v>354</v>
      </c>
      <c r="J9" s="134">
        <v>305</v>
      </c>
      <c r="K9" s="134">
        <v>78</v>
      </c>
      <c r="L9" s="59">
        <f t="shared" si="1"/>
        <v>1055</v>
      </c>
      <c r="M9" s="134">
        <v>317</v>
      </c>
      <c r="N9" s="134">
        <v>223</v>
      </c>
      <c r="O9" s="134">
        <v>286</v>
      </c>
      <c r="P9" s="134">
        <v>264</v>
      </c>
      <c r="Q9" s="59">
        <f t="shared" si="2"/>
        <v>1090</v>
      </c>
      <c r="R9" s="134">
        <v>282</v>
      </c>
      <c r="S9" s="134">
        <v>289</v>
      </c>
      <c r="T9" s="134">
        <v>261</v>
      </c>
      <c r="U9" s="134">
        <v>250</v>
      </c>
      <c r="V9" s="59">
        <f t="shared" si="3"/>
        <v>1082</v>
      </c>
      <c r="W9" s="134">
        <v>260</v>
      </c>
      <c r="X9" s="134">
        <v>249</v>
      </c>
      <c r="Y9" s="134">
        <v>219</v>
      </c>
      <c r="Z9" s="134">
        <v>204</v>
      </c>
      <c r="AA9" s="59">
        <f t="shared" si="4"/>
        <v>932</v>
      </c>
    </row>
    <row r="10" spans="1:27" s="20" customFormat="1" ht="17.25" customHeight="1">
      <c r="A10" s="7"/>
      <c r="B10" s="26" t="s">
        <v>17</v>
      </c>
      <c r="C10" s="123">
        <v>107</v>
      </c>
      <c r="D10" s="123">
        <v>115</v>
      </c>
      <c r="E10" s="123">
        <v>145</v>
      </c>
      <c r="F10" s="123">
        <v>178</v>
      </c>
      <c r="G10" s="50">
        <f t="shared" si="0"/>
        <v>545</v>
      </c>
      <c r="H10" s="123">
        <v>140</v>
      </c>
      <c r="I10" s="123">
        <v>142</v>
      </c>
      <c r="J10" s="123">
        <v>137</v>
      </c>
      <c r="K10" s="123">
        <v>185</v>
      </c>
      <c r="L10" s="50">
        <f t="shared" si="1"/>
        <v>604</v>
      </c>
      <c r="M10" s="123">
        <v>147</v>
      </c>
      <c r="N10" s="123">
        <v>127</v>
      </c>
      <c r="O10" s="123">
        <v>123</v>
      </c>
      <c r="P10" s="123">
        <v>160</v>
      </c>
      <c r="Q10" s="50">
        <f t="shared" si="2"/>
        <v>557</v>
      </c>
      <c r="R10" s="123">
        <v>138</v>
      </c>
      <c r="S10" s="123">
        <v>148</v>
      </c>
      <c r="T10" s="123">
        <v>150</v>
      </c>
      <c r="U10" s="123">
        <v>147</v>
      </c>
      <c r="V10" s="50">
        <f t="shared" si="3"/>
        <v>583</v>
      </c>
      <c r="W10" s="123">
        <v>125</v>
      </c>
      <c r="X10" s="123">
        <v>144</v>
      </c>
      <c r="Y10" s="123">
        <v>128</v>
      </c>
      <c r="Z10" s="123">
        <v>130</v>
      </c>
      <c r="AA10" s="50">
        <f t="shared" si="4"/>
        <v>527</v>
      </c>
    </row>
    <row r="11" spans="1:27" s="20" customFormat="1" ht="17.25" customHeight="1">
      <c r="A11" s="7"/>
      <c r="B11" s="31" t="s">
        <v>18</v>
      </c>
      <c r="C11" s="133">
        <v>53</v>
      </c>
      <c r="D11" s="133">
        <v>48</v>
      </c>
      <c r="E11" s="133">
        <v>48</v>
      </c>
      <c r="F11" s="133">
        <v>60</v>
      </c>
      <c r="G11" s="60">
        <f t="shared" si="0"/>
        <v>209</v>
      </c>
      <c r="H11" s="133">
        <v>40</v>
      </c>
      <c r="I11" s="133">
        <v>40</v>
      </c>
      <c r="J11" s="133">
        <v>41</v>
      </c>
      <c r="K11" s="133">
        <v>37</v>
      </c>
      <c r="L11" s="60">
        <f t="shared" si="1"/>
        <v>158</v>
      </c>
      <c r="M11" s="133">
        <v>32</v>
      </c>
      <c r="N11" s="133">
        <v>29</v>
      </c>
      <c r="O11" s="133">
        <v>45</v>
      </c>
      <c r="P11" s="133">
        <v>54</v>
      </c>
      <c r="Q11" s="60">
        <f t="shared" si="2"/>
        <v>160</v>
      </c>
      <c r="R11" s="133">
        <v>45</v>
      </c>
      <c r="S11" s="133">
        <v>43</v>
      </c>
      <c r="T11" s="133">
        <v>36</v>
      </c>
      <c r="U11" s="133">
        <v>40</v>
      </c>
      <c r="V11" s="60">
        <f t="shared" si="3"/>
        <v>164</v>
      </c>
      <c r="W11" s="133">
        <v>34</v>
      </c>
      <c r="X11" s="133">
        <v>34</v>
      </c>
      <c r="Y11" s="133">
        <v>32</v>
      </c>
      <c r="Z11" s="133">
        <v>34</v>
      </c>
      <c r="AA11" s="60">
        <f t="shared" si="4"/>
        <v>134</v>
      </c>
    </row>
    <row r="12" spans="1:27" s="20" customFormat="1" ht="17.25" customHeight="1">
      <c r="A12" s="7"/>
      <c r="B12" s="32" t="s">
        <v>19</v>
      </c>
      <c r="C12" s="74">
        <f>SUM(C10:C11)</f>
        <v>160</v>
      </c>
      <c r="D12" s="74">
        <f>SUM(D10:D11)</f>
        <v>163</v>
      </c>
      <c r="E12" s="74">
        <f>SUM(E10:E11)</f>
        <v>193</v>
      </c>
      <c r="F12" s="74">
        <f>SUM(F10:F11)</f>
        <v>238</v>
      </c>
      <c r="G12" s="57">
        <f t="shared" si="0"/>
        <v>754</v>
      </c>
      <c r="H12" s="74">
        <f>SUM(H10:H11)</f>
        <v>180</v>
      </c>
      <c r="I12" s="74">
        <f>SUM(I10:I11)</f>
        <v>182</v>
      </c>
      <c r="J12" s="74">
        <f>SUM(J10:J11)</f>
        <v>178</v>
      </c>
      <c r="K12" s="74">
        <f>SUM(K10:K11)</f>
        <v>222</v>
      </c>
      <c r="L12" s="57">
        <f t="shared" si="1"/>
        <v>762</v>
      </c>
      <c r="M12" s="57">
        <f>SUM(M10:M11)</f>
        <v>179</v>
      </c>
      <c r="N12" s="57">
        <f>SUM(N10:N11)</f>
        <v>156</v>
      </c>
      <c r="O12" s="57">
        <f>SUM(O10:O11)</f>
        <v>168</v>
      </c>
      <c r="P12" s="57">
        <f>SUM(P10:P11)</f>
        <v>214</v>
      </c>
      <c r="Q12" s="57">
        <f t="shared" si="2"/>
        <v>717</v>
      </c>
      <c r="R12" s="57">
        <f>SUM(R10:R11)</f>
        <v>183</v>
      </c>
      <c r="S12" s="57">
        <f>SUM(S10:S11)</f>
        <v>191</v>
      </c>
      <c r="T12" s="57">
        <f>SUM(T10:T11)</f>
        <v>186</v>
      </c>
      <c r="U12" s="57">
        <f>SUM(U10:U11)</f>
        <v>187</v>
      </c>
      <c r="V12" s="57">
        <f t="shared" si="3"/>
        <v>747</v>
      </c>
      <c r="W12" s="57">
        <f>SUM(W10:W11)</f>
        <v>159</v>
      </c>
      <c r="X12" s="57">
        <f>SUM(X10:X11)</f>
        <v>178</v>
      </c>
      <c r="Y12" s="57">
        <f>SUM(Y10:Y11)</f>
        <v>160</v>
      </c>
      <c r="Z12" s="57">
        <v>164</v>
      </c>
      <c r="AA12" s="57">
        <f t="shared" si="4"/>
        <v>661</v>
      </c>
    </row>
    <row r="13" spans="1:27" s="20" customFormat="1" ht="17.25" customHeight="1" thickBot="1">
      <c r="A13" s="7"/>
      <c r="B13" s="30" t="s">
        <v>20</v>
      </c>
      <c r="C13" s="331">
        <f>C9+C12</f>
        <v>476</v>
      </c>
      <c r="D13" s="331">
        <f>D9+D12</f>
        <v>498</v>
      </c>
      <c r="E13" s="331">
        <f>E9+E12</f>
        <v>484</v>
      </c>
      <c r="F13" s="331">
        <f>F9+F12</f>
        <v>582</v>
      </c>
      <c r="G13" s="47">
        <f t="shared" si="0"/>
        <v>2040</v>
      </c>
      <c r="H13" s="331">
        <f>H9+H12</f>
        <v>498</v>
      </c>
      <c r="I13" s="331">
        <f>I9+I12</f>
        <v>536</v>
      </c>
      <c r="J13" s="331">
        <f>J9+J12</f>
        <v>483</v>
      </c>
      <c r="K13" s="331">
        <f>K9+K12</f>
        <v>300</v>
      </c>
      <c r="L13" s="47">
        <f t="shared" si="1"/>
        <v>1817</v>
      </c>
      <c r="M13" s="47">
        <f>M9+M12</f>
        <v>496</v>
      </c>
      <c r="N13" s="47">
        <f>N9+N12</f>
        <v>379</v>
      </c>
      <c r="O13" s="47">
        <f>O9+O12</f>
        <v>454</v>
      </c>
      <c r="P13" s="47">
        <f>P9+P12</f>
        <v>478</v>
      </c>
      <c r="Q13" s="47">
        <f t="shared" si="2"/>
        <v>1807</v>
      </c>
      <c r="R13" s="47">
        <f>R9+R12</f>
        <v>465</v>
      </c>
      <c r="S13" s="47">
        <f>S9+S12</f>
        <v>480</v>
      </c>
      <c r="T13" s="47">
        <f>T9+T12</f>
        <v>447</v>
      </c>
      <c r="U13" s="47">
        <f>U9+U12</f>
        <v>437</v>
      </c>
      <c r="V13" s="47">
        <f t="shared" si="3"/>
        <v>1829</v>
      </c>
      <c r="W13" s="47">
        <f>W9+W12</f>
        <v>419</v>
      </c>
      <c r="X13" s="47">
        <f>X9+X12</f>
        <v>427</v>
      </c>
      <c r="Y13" s="47">
        <f>Y9+Y12</f>
        <v>379</v>
      </c>
      <c r="Z13" s="47">
        <f>Z9+Z12</f>
        <v>368</v>
      </c>
      <c r="AA13" s="47">
        <f t="shared" si="4"/>
        <v>1593</v>
      </c>
    </row>
    <row r="14" spans="1:27" s="20" customFormat="1" ht="17.25" customHeight="1" thickBot="1">
      <c r="A14" s="7"/>
      <c r="B14" s="46" t="s">
        <v>109</v>
      </c>
      <c r="C14" s="331">
        <f>C7-C8-C13</f>
        <v>185</v>
      </c>
      <c r="D14" s="331">
        <f>D7-D8-D13</f>
        <v>291</v>
      </c>
      <c r="E14" s="331">
        <f>E7-E8-E13</f>
        <v>31</v>
      </c>
      <c r="F14" s="331">
        <f>F7-F8-F13</f>
        <v>-157</v>
      </c>
      <c r="G14" s="47">
        <f t="shared" si="0"/>
        <v>350</v>
      </c>
      <c r="H14" s="331">
        <f>H7-H8-H13</f>
        <v>-544</v>
      </c>
      <c r="I14" s="331">
        <f>I7-I8-I13</f>
        <v>124</v>
      </c>
      <c r="J14" s="331">
        <f>J7-J8-J13</f>
        <v>-109</v>
      </c>
      <c r="K14" s="331">
        <f>K7-K8-K13</f>
        <v>-656</v>
      </c>
      <c r="L14" s="47">
        <f t="shared" si="1"/>
        <v>-1185</v>
      </c>
      <c r="M14" s="47">
        <f>M7-M8-M13</f>
        <v>-490</v>
      </c>
      <c r="N14" s="47">
        <f>N7-N8-N13</f>
        <v>55</v>
      </c>
      <c r="O14" s="47">
        <f>O7-O8-O13</f>
        <v>311</v>
      </c>
      <c r="P14" s="47">
        <f>P7-P8-P13</f>
        <v>159</v>
      </c>
      <c r="Q14" s="47">
        <f t="shared" si="2"/>
        <v>35</v>
      </c>
      <c r="R14" s="47">
        <f>R7-R8-R13</f>
        <v>166</v>
      </c>
      <c r="S14" s="47">
        <f>S7-S8-S13</f>
        <v>22</v>
      </c>
      <c r="T14" s="47">
        <f>T7-T8-T13</f>
        <v>135</v>
      </c>
      <c r="U14" s="47">
        <f>U7-U8-U13</f>
        <v>180</v>
      </c>
      <c r="V14" s="47">
        <f t="shared" si="3"/>
        <v>503</v>
      </c>
      <c r="W14" s="47">
        <f>W7-W8-W13</f>
        <v>172</v>
      </c>
      <c r="X14" s="47">
        <f>X7-X8-X13</f>
        <v>202</v>
      </c>
      <c r="Y14" s="47">
        <f>Y7-Y8-Y13</f>
        <v>92</v>
      </c>
      <c r="Z14" s="47">
        <f>Z7-Z8-Z13</f>
        <v>87</v>
      </c>
      <c r="AA14" s="47">
        <f t="shared" si="4"/>
        <v>553</v>
      </c>
    </row>
    <row r="15" spans="1:27" ht="12" customHeight="1">
      <c r="A15" s="7"/>
      <c r="B15" s="330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1:27" ht="15" customHeight="1">
      <c r="A16" s="7"/>
      <c r="B16" s="13" t="s">
        <v>114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7.25" customHeight="1">
      <c r="A17" s="7"/>
      <c r="B17" s="32" t="s">
        <v>42</v>
      </c>
      <c r="C17" s="58">
        <f>+C13/C7*100</f>
        <v>72</v>
      </c>
      <c r="D17" s="58">
        <f>+D13/D7*100</f>
        <v>63.1</v>
      </c>
      <c r="E17" s="58">
        <f>+E13/E7*100</f>
        <v>94</v>
      </c>
      <c r="F17" s="58">
        <f>+F13/F7*100</f>
        <v>136.9</v>
      </c>
      <c r="G17" s="58">
        <f>+G13/G7*100</f>
        <v>85.4</v>
      </c>
      <c r="H17" s="115">
        <v>0</v>
      </c>
      <c r="I17" s="58">
        <f>+I13/I7*100</f>
        <v>81.2</v>
      </c>
      <c r="J17" s="58">
        <f>+J13/J7*100</f>
        <v>129.1</v>
      </c>
      <c r="K17" s="115">
        <v>0</v>
      </c>
      <c r="L17" s="58">
        <f>+L13/L7*100</f>
        <v>287.5</v>
      </c>
      <c r="M17" s="115">
        <v>0</v>
      </c>
      <c r="N17" s="58">
        <f aca="true" t="shared" si="5" ref="N17:W17">+N13/N7*100</f>
        <v>87.3</v>
      </c>
      <c r="O17" s="58">
        <f t="shared" si="5"/>
        <v>59.3</v>
      </c>
      <c r="P17" s="58">
        <f t="shared" si="5"/>
        <v>75</v>
      </c>
      <c r="Q17" s="58">
        <f t="shared" si="5"/>
        <v>98.1</v>
      </c>
      <c r="R17" s="58">
        <f t="shared" si="5"/>
        <v>73.7</v>
      </c>
      <c r="S17" s="58">
        <f t="shared" si="5"/>
        <v>95.6</v>
      </c>
      <c r="T17" s="58">
        <f t="shared" si="5"/>
        <v>76.8</v>
      </c>
      <c r="U17" s="58">
        <f t="shared" si="5"/>
        <v>70.8</v>
      </c>
      <c r="V17" s="58">
        <f t="shared" si="5"/>
        <v>78.4</v>
      </c>
      <c r="W17" s="58">
        <f t="shared" si="5"/>
        <v>70.9</v>
      </c>
      <c r="X17" s="58">
        <f>+X13/X7*100</f>
        <v>67.9</v>
      </c>
      <c r="Y17" s="58">
        <f>+Y13/Y7*100</f>
        <v>80.5</v>
      </c>
      <c r="Z17" s="58">
        <f>+Z13/Z7*100</f>
        <v>80.9</v>
      </c>
      <c r="AA17" s="58">
        <f>+AA13/AA7*100</f>
        <v>74.2</v>
      </c>
    </row>
    <row r="18" spans="1:27" ht="17.25" customHeight="1" thickBot="1">
      <c r="A18" s="7"/>
      <c r="B18" s="65" t="s">
        <v>43</v>
      </c>
      <c r="C18" s="69">
        <f>+C14/C7*100</f>
        <v>28</v>
      </c>
      <c r="D18" s="69">
        <f>+D14/D7*100</f>
        <v>36.9</v>
      </c>
      <c r="E18" s="69">
        <f>+E14/E7*100</f>
        <v>6</v>
      </c>
      <c r="F18" s="69">
        <f>+F14/F7*100</f>
        <v>-36.9</v>
      </c>
      <c r="G18" s="69">
        <f>+G14/G7*100</f>
        <v>14.6</v>
      </c>
      <c r="H18" s="116">
        <v>0</v>
      </c>
      <c r="I18" s="69">
        <f>+I14/I7*100</f>
        <v>18.8</v>
      </c>
      <c r="J18" s="69">
        <f>+J14/J7*100</f>
        <v>-29.1</v>
      </c>
      <c r="K18" s="116">
        <v>0</v>
      </c>
      <c r="L18" s="69">
        <f>+L14/L7*100</f>
        <v>-187.5</v>
      </c>
      <c r="M18" s="116">
        <v>0</v>
      </c>
      <c r="N18" s="69">
        <f aca="true" t="shared" si="6" ref="N18:W18">+N14/N7*100</f>
        <v>12.7</v>
      </c>
      <c r="O18" s="69">
        <f t="shared" si="6"/>
        <v>40.7</v>
      </c>
      <c r="P18" s="69">
        <f t="shared" si="6"/>
        <v>25</v>
      </c>
      <c r="Q18" s="69">
        <f t="shared" si="6"/>
        <v>1.9</v>
      </c>
      <c r="R18" s="69">
        <f t="shared" si="6"/>
        <v>26.3</v>
      </c>
      <c r="S18" s="69">
        <f t="shared" si="6"/>
        <v>4.4</v>
      </c>
      <c r="T18" s="69">
        <f t="shared" si="6"/>
        <v>23.2</v>
      </c>
      <c r="U18" s="69">
        <f t="shared" si="6"/>
        <v>29.2</v>
      </c>
      <c r="V18" s="69">
        <f t="shared" si="6"/>
        <v>21.6</v>
      </c>
      <c r="W18" s="69">
        <f t="shared" si="6"/>
        <v>29.1</v>
      </c>
      <c r="X18" s="69">
        <f>+X14/X7*100</f>
        <v>32.1</v>
      </c>
      <c r="Y18" s="69">
        <f>+Y14/Y7*100</f>
        <v>19.5</v>
      </c>
      <c r="Z18" s="69">
        <f>+Z14/Z7*100</f>
        <v>19.1</v>
      </c>
      <c r="AA18" s="69">
        <f>+AA14/AA7*100</f>
        <v>25.8</v>
      </c>
    </row>
    <row r="19" spans="1:27" ht="10.5" customHeight="1">
      <c r="A19" s="7"/>
      <c r="B19" s="330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1:27" ht="17.25" customHeight="1">
      <c r="A20" s="7"/>
      <c r="B20" s="13" t="s">
        <v>62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20" customFormat="1" ht="30.75" customHeight="1" thickBot="1">
      <c r="A21" s="7"/>
      <c r="B21" s="144" t="s">
        <v>101</v>
      </c>
      <c r="C21" s="67">
        <v>2511</v>
      </c>
      <c r="D21" s="67">
        <v>2708</v>
      </c>
      <c r="E21" s="67">
        <v>2773</v>
      </c>
      <c r="F21" s="67">
        <v>2861</v>
      </c>
      <c r="G21" s="67">
        <v>2716</v>
      </c>
      <c r="H21" s="67">
        <v>2971</v>
      </c>
      <c r="I21" s="67">
        <v>3009</v>
      </c>
      <c r="J21" s="67">
        <v>3496</v>
      </c>
      <c r="K21" s="67">
        <v>3695</v>
      </c>
      <c r="L21" s="67">
        <v>3285</v>
      </c>
      <c r="M21" s="67">
        <v>3525</v>
      </c>
      <c r="N21" s="67">
        <v>3486</v>
      </c>
      <c r="O21" s="67">
        <v>3437</v>
      </c>
      <c r="P21" s="67">
        <v>3436</v>
      </c>
      <c r="Q21" s="67">
        <v>3467</v>
      </c>
      <c r="R21" s="67">
        <v>3443</v>
      </c>
      <c r="S21" s="67">
        <v>3606</v>
      </c>
      <c r="T21" s="67">
        <v>3732</v>
      </c>
      <c r="U21" s="67">
        <v>3536</v>
      </c>
      <c r="V21" s="67">
        <v>3539</v>
      </c>
      <c r="W21" s="67">
        <v>3371</v>
      </c>
      <c r="X21" s="67">
        <v>3324</v>
      </c>
      <c r="Y21" s="67">
        <v>3371</v>
      </c>
      <c r="Z21" s="67">
        <v>3402</v>
      </c>
      <c r="AA21" s="67">
        <v>3359</v>
      </c>
    </row>
    <row r="22" spans="1:27" s="20" customFormat="1" ht="31.5" customHeight="1" thickBot="1">
      <c r="A22" s="7"/>
      <c r="B22" s="144" t="s">
        <v>100</v>
      </c>
      <c r="C22" s="129">
        <v>31.6</v>
      </c>
      <c r="D22" s="129">
        <v>45</v>
      </c>
      <c r="E22" s="129">
        <v>6.4</v>
      </c>
      <c r="F22" s="129">
        <v>-20.2</v>
      </c>
      <c r="G22" s="66">
        <v>14.9</v>
      </c>
      <c r="H22" s="129">
        <v>-71.7</v>
      </c>
      <c r="I22" s="129">
        <v>17.9</v>
      </c>
      <c r="J22" s="129">
        <v>-11.1</v>
      </c>
      <c r="K22" s="129">
        <v>-69.9</v>
      </c>
      <c r="L22" s="66">
        <v>-34.8</v>
      </c>
      <c r="M22" s="129">
        <v>-54.3</v>
      </c>
      <c r="N22" s="129">
        <v>7.4</v>
      </c>
      <c r="O22" s="129">
        <v>37.1</v>
      </c>
      <c r="P22" s="129">
        <v>19.5</v>
      </c>
      <c r="Q22" s="66">
        <v>2.1</v>
      </c>
      <c r="R22" s="411">
        <v>20.3</v>
      </c>
      <c r="S22" s="411">
        <v>3.5</v>
      </c>
      <c r="T22" s="411">
        <v>15.4</v>
      </c>
      <c r="U22" s="129">
        <v>21.4</v>
      </c>
      <c r="V22" s="66">
        <v>15.2</v>
      </c>
      <c r="W22" s="411">
        <v>21.4</v>
      </c>
      <c r="X22" s="411">
        <v>25.3</v>
      </c>
      <c r="Y22" s="411">
        <v>12</v>
      </c>
      <c r="Z22" s="411">
        <v>11.4</v>
      </c>
      <c r="AA22" s="66">
        <v>17.5</v>
      </c>
    </row>
    <row r="23" spans="1:27" ht="20.25" customHeight="1">
      <c r="A23" s="7"/>
      <c r="B23" s="33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27" ht="17.25" customHeight="1">
      <c r="A24" s="7"/>
      <c r="B24" s="13" t="s">
        <v>63</v>
      </c>
      <c r="C24" s="131"/>
      <c r="D24" s="131"/>
      <c r="E24" s="131"/>
      <c r="F24" s="131"/>
      <c r="G24" s="16"/>
      <c r="H24" s="131"/>
      <c r="I24" s="131"/>
      <c r="J24" s="131"/>
      <c r="K24" s="131"/>
      <c r="L24" s="16"/>
      <c r="M24" s="131"/>
      <c r="N24" s="131"/>
      <c r="O24" s="131"/>
      <c r="P24" s="131"/>
      <c r="Q24" s="16"/>
      <c r="R24" s="131"/>
      <c r="S24" s="131"/>
      <c r="T24" s="131"/>
      <c r="U24" s="131"/>
      <c r="V24" s="16"/>
      <c r="W24" s="131"/>
      <c r="X24" s="131"/>
      <c r="Y24" s="131"/>
      <c r="Z24" s="131"/>
      <c r="AA24" s="16"/>
    </row>
    <row r="25" spans="1:27" ht="17.25" customHeight="1" thickBot="1">
      <c r="A25" s="7"/>
      <c r="B25" s="65" t="s">
        <v>64</v>
      </c>
      <c r="C25" s="70">
        <f>+'Core Results'!C43</f>
        <v>3400</v>
      </c>
      <c r="D25" s="70">
        <f>+'Core Results'!D43</f>
        <v>3400</v>
      </c>
      <c r="E25" s="70">
        <f>+'Core Results'!E43</f>
        <v>3500</v>
      </c>
      <c r="F25" s="70">
        <f>+'Core Results'!F43</f>
        <v>3700</v>
      </c>
      <c r="G25" s="70">
        <f>+'Core Results'!G43</f>
        <v>3700</v>
      </c>
      <c r="H25" s="70">
        <f>+'Core Results'!H43</f>
        <v>3700</v>
      </c>
      <c r="I25" s="70">
        <f>+'Core Results'!I43</f>
        <v>3800</v>
      </c>
      <c r="J25" s="70">
        <f>+'Core Results'!J43</f>
        <v>3700</v>
      </c>
      <c r="K25" s="70">
        <f>+'Core Results'!K43</f>
        <v>3100</v>
      </c>
      <c r="L25" s="70">
        <f>+'Core Results'!L43</f>
        <v>3100</v>
      </c>
      <c r="M25" s="70">
        <f>+'Core Results'!M43</f>
        <v>3100</v>
      </c>
      <c r="N25" s="70">
        <f>+'Core Results'!N43</f>
        <v>3200</v>
      </c>
      <c r="O25" s="70">
        <f>+'Core Results'!O43</f>
        <v>3100</v>
      </c>
      <c r="P25" s="70">
        <f>+'Core Results'!P43</f>
        <v>3100</v>
      </c>
      <c r="Q25" s="70">
        <f>+'Core Results'!Q43</f>
        <v>3100</v>
      </c>
      <c r="R25" s="70">
        <f>+'Core Results'!R43</f>
        <v>2900</v>
      </c>
      <c r="S25" s="70">
        <f>+'Core Results'!S43</f>
        <v>2800</v>
      </c>
      <c r="T25" s="70">
        <f>+'Core Results'!T43</f>
        <v>2900</v>
      </c>
      <c r="U25" s="70">
        <f>+'Core Results'!U43</f>
        <v>2900</v>
      </c>
      <c r="V25" s="70">
        <f>+'Core Results'!V43</f>
        <v>2900</v>
      </c>
      <c r="W25" s="70">
        <f>+'Core Results'!W43</f>
        <v>2800</v>
      </c>
      <c r="X25" s="70">
        <f>+'Core Results'!X43</f>
        <v>2800</v>
      </c>
      <c r="Y25" s="70">
        <f>+'Core Results'!Y43</f>
        <v>2800</v>
      </c>
      <c r="Z25" s="70">
        <f>+'Core Results'!Z43</f>
        <v>2700</v>
      </c>
      <c r="AA25" s="70">
        <f>+'Core Results'!AA43</f>
        <v>2700</v>
      </c>
    </row>
    <row r="26" spans="1:27" ht="20.25" customHeight="1">
      <c r="A26" s="7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20" customFormat="1" ht="17.25" customHeight="1">
      <c r="A27" s="7"/>
      <c r="B27" s="13" t="s">
        <v>188</v>
      </c>
      <c r="C27" s="19"/>
      <c r="D27" s="19"/>
      <c r="E27" s="19"/>
      <c r="F27" s="33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20" customFormat="1" ht="17.25" customHeight="1">
      <c r="A28" s="7"/>
      <c r="B28" s="111" t="s">
        <v>189</v>
      </c>
      <c r="C28" s="333"/>
      <c r="D28" s="333"/>
      <c r="E28" s="333"/>
      <c r="F28" s="333"/>
      <c r="G28" s="333"/>
      <c r="H28" s="141">
        <v>395</v>
      </c>
      <c r="I28" s="141">
        <v>401</v>
      </c>
      <c r="J28" s="141">
        <v>429</v>
      </c>
      <c r="K28" s="141">
        <v>358</v>
      </c>
      <c r="L28" s="112">
        <f>SUM(H28:K28)</f>
        <v>1583</v>
      </c>
      <c r="M28" s="141">
        <v>328</v>
      </c>
      <c r="N28" s="141">
        <v>338</v>
      </c>
      <c r="O28" s="141">
        <v>340</v>
      </c>
      <c r="P28" s="141">
        <v>361</v>
      </c>
      <c r="Q28" s="112">
        <f>SUM(M28:P28)</f>
        <v>1367</v>
      </c>
      <c r="R28" s="141">
        <v>359</v>
      </c>
      <c r="S28" s="141">
        <v>357</v>
      </c>
      <c r="T28" s="141">
        <v>343</v>
      </c>
      <c r="U28" s="141">
        <v>337</v>
      </c>
      <c r="V28" s="112">
        <f>SUM(R28:U28)</f>
        <v>1396</v>
      </c>
      <c r="W28" s="141">
        <v>327</v>
      </c>
      <c r="X28" s="141">
        <v>313</v>
      </c>
      <c r="Y28" s="141">
        <v>311</v>
      </c>
      <c r="Z28" s="141">
        <v>312</v>
      </c>
      <c r="AA28" s="112">
        <f>SUM(W28:Z28)</f>
        <v>1263</v>
      </c>
    </row>
    <row r="29" spans="1:27" s="20" customFormat="1" ht="17.25" customHeight="1">
      <c r="A29" s="7"/>
      <c r="B29" s="113" t="s">
        <v>190</v>
      </c>
      <c r="C29" s="334"/>
      <c r="D29" s="334"/>
      <c r="E29" s="334"/>
      <c r="F29" s="334"/>
      <c r="G29" s="334"/>
      <c r="H29" s="335">
        <v>31</v>
      </c>
      <c r="I29" s="335">
        <v>69</v>
      </c>
      <c r="J29" s="335">
        <v>57</v>
      </c>
      <c r="K29" s="335">
        <v>75</v>
      </c>
      <c r="L29" s="114">
        <f>SUM(H29:K29)</f>
        <v>232</v>
      </c>
      <c r="M29" s="335">
        <v>36</v>
      </c>
      <c r="N29" s="335">
        <v>35</v>
      </c>
      <c r="O29" s="335">
        <v>42</v>
      </c>
      <c r="P29" s="335">
        <v>67</v>
      </c>
      <c r="Q29" s="114">
        <f>SUM(M29:P29)</f>
        <v>180</v>
      </c>
      <c r="R29" s="335">
        <v>40</v>
      </c>
      <c r="S29" s="335">
        <v>46</v>
      </c>
      <c r="T29" s="335">
        <v>38</v>
      </c>
      <c r="U29" s="335">
        <v>37</v>
      </c>
      <c r="V29" s="114">
        <f>SUM(R29:U29)</f>
        <v>161</v>
      </c>
      <c r="W29" s="335">
        <v>50</v>
      </c>
      <c r="X29" s="335">
        <v>60</v>
      </c>
      <c r="Y29" s="335">
        <v>64</v>
      </c>
      <c r="Z29" s="335">
        <v>85</v>
      </c>
      <c r="AA29" s="114">
        <f>SUM(W29:Z29)</f>
        <v>259</v>
      </c>
    </row>
    <row r="30" spans="1:27" s="20" customFormat="1" ht="17.25" customHeight="1">
      <c r="A30" s="7"/>
      <c r="B30" s="113" t="s">
        <v>191</v>
      </c>
      <c r="C30" s="334"/>
      <c r="D30" s="334"/>
      <c r="E30" s="334"/>
      <c r="F30" s="334"/>
      <c r="G30" s="334"/>
      <c r="H30" s="335">
        <v>19</v>
      </c>
      <c r="I30" s="335">
        <v>86</v>
      </c>
      <c r="J30" s="335">
        <v>31</v>
      </c>
      <c r="K30" s="335">
        <v>17</v>
      </c>
      <c r="L30" s="114">
        <f>SUM(H30:K30)</f>
        <v>153</v>
      </c>
      <c r="M30" s="335">
        <v>-11</v>
      </c>
      <c r="N30" s="335">
        <v>37</v>
      </c>
      <c r="O30" s="335">
        <v>26</v>
      </c>
      <c r="P30" s="335">
        <v>168</v>
      </c>
      <c r="Q30" s="114">
        <f>SUM(M30:P30)</f>
        <v>220</v>
      </c>
      <c r="R30" s="335">
        <v>16</v>
      </c>
      <c r="S30" s="335">
        <v>3</v>
      </c>
      <c r="T30" s="335">
        <v>40</v>
      </c>
      <c r="U30" s="335">
        <v>128</v>
      </c>
      <c r="V30" s="114">
        <f>SUM(R30:U30)</f>
        <v>187</v>
      </c>
      <c r="W30" s="335">
        <v>34</v>
      </c>
      <c r="X30" s="335">
        <v>60</v>
      </c>
      <c r="Y30" s="335">
        <v>86</v>
      </c>
      <c r="Z30" s="335">
        <v>41</v>
      </c>
      <c r="AA30" s="114">
        <f>SUM(W30:Z30)</f>
        <v>221</v>
      </c>
    </row>
    <row r="31" spans="1:27" s="20" customFormat="1" ht="17.25" customHeight="1">
      <c r="A31" s="7"/>
      <c r="B31" s="336" t="s">
        <v>192</v>
      </c>
      <c r="C31" s="337"/>
      <c r="D31" s="337"/>
      <c r="E31" s="337"/>
      <c r="F31" s="337"/>
      <c r="G31" s="337"/>
      <c r="H31" s="338">
        <v>22</v>
      </c>
      <c r="I31" s="338">
        <v>28</v>
      </c>
      <c r="J31" s="338">
        <v>6</v>
      </c>
      <c r="K31" s="338">
        <v>-24</v>
      </c>
      <c r="L31" s="114">
        <f>SUM(H31:K31)</f>
        <v>32</v>
      </c>
      <c r="M31" s="338">
        <v>8</v>
      </c>
      <c r="N31" s="338">
        <v>14</v>
      </c>
      <c r="O31" s="338">
        <v>22</v>
      </c>
      <c r="P31" s="338">
        <v>8</v>
      </c>
      <c r="Q31" s="409">
        <f>SUM(M31:P31)</f>
        <v>52</v>
      </c>
      <c r="R31" s="338">
        <v>18</v>
      </c>
      <c r="S31" s="338">
        <v>23</v>
      </c>
      <c r="T31" s="338">
        <v>18</v>
      </c>
      <c r="U31" s="338">
        <v>30</v>
      </c>
      <c r="V31" s="409">
        <f>SUM(R31:U31)</f>
        <v>89</v>
      </c>
      <c r="W31" s="338">
        <v>32</v>
      </c>
      <c r="X31" s="338">
        <v>36</v>
      </c>
      <c r="Y31" s="338">
        <v>28</v>
      </c>
      <c r="Z31" s="338">
        <v>26</v>
      </c>
      <c r="AA31" s="409">
        <f>SUM(W31:Z31)</f>
        <v>122</v>
      </c>
    </row>
    <row r="32" spans="1:27" s="20" customFormat="1" ht="17.25" customHeight="1">
      <c r="A32" s="7"/>
      <c r="B32" s="32" t="s">
        <v>193</v>
      </c>
      <c r="C32" s="339"/>
      <c r="D32" s="339"/>
      <c r="E32" s="339"/>
      <c r="F32" s="339"/>
      <c r="G32" s="339"/>
      <c r="H32" s="57">
        <f>SUM(H28:H31)</f>
        <v>467</v>
      </c>
      <c r="I32" s="57">
        <f>SUM(I28:I31)</f>
        <v>584</v>
      </c>
      <c r="J32" s="57">
        <f>SUM(J28:J31)</f>
        <v>523</v>
      </c>
      <c r="K32" s="57">
        <f>SUM(K28:K31)</f>
        <v>426</v>
      </c>
      <c r="L32" s="57">
        <f aca="true" t="shared" si="7" ref="L32:AA32">SUM(L28:L31)</f>
        <v>2000</v>
      </c>
      <c r="M32" s="57">
        <f t="shared" si="7"/>
        <v>361</v>
      </c>
      <c r="N32" s="57">
        <f t="shared" si="7"/>
        <v>424</v>
      </c>
      <c r="O32" s="57">
        <f t="shared" si="7"/>
        <v>430</v>
      </c>
      <c r="P32" s="57">
        <f t="shared" si="7"/>
        <v>604</v>
      </c>
      <c r="Q32" s="57">
        <f t="shared" si="7"/>
        <v>1819</v>
      </c>
      <c r="R32" s="57">
        <f t="shared" si="7"/>
        <v>433</v>
      </c>
      <c r="S32" s="57">
        <f t="shared" si="7"/>
        <v>429</v>
      </c>
      <c r="T32" s="57">
        <f t="shared" si="7"/>
        <v>439</v>
      </c>
      <c r="U32" s="57">
        <f t="shared" si="7"/>
        <v>532</v>
      </c>
      <c r="V32" s="57">
        <f t="shared" si="7"/>
        <v>1833</v>
      </c>
      <c r="W32" s="57">
        <f t="shared" si="7"/>
        <v>443</v>
      </c>
      <c r="X32" s="57">
        <f t="shared" si="7"/>
        <v>469</v>
      </c>
      <c r="Y32" s="57">
        <f t="shared" si="7"/>
        <v>489</v>
      </c>
      <c r="Z32" s="57">
        <f t="shared" si="7"/>
        <v>464</v>
      </c>
      <c r="AA32" s="57">
        <f t="shared" si="7"/>
        <v>1865</v>
      </c>
    </row>
    <row r="33" spans="1:27" s="20" customFormat="1" ht="17.25" customHeight="1">
      <c r="A33" s="7"/>
      <c r="B33" s="188" t="s">
        <v>194</v>
      </c>
      <c r="C33" s="340"/>
      <c r="D33" s="340"/>
      <c r="E33" s="340"/>
      <c r="F33" s="340"/>
      <c r="G33" s="340"/>
      <c r="H33" s="341">
        <v>-9</v>
      </c>
      <c r="I33" s="341">
        <v>57</v>
      </c>
      <c r="J33" s="341">
        <v>-109</v>
      </c>
      <c r="K33" s="341">
        <v>-595</v>
      </c>
      <c r="L33" s="173">
        <f>SUM(H33:K33)</f>
        <v>-656</v>
      </c>
      <c r="M33" s="341">
        <v>-393</v>
      </c>
      <c r="N33" s="341">
        <v>-27</v>
      </c>
      <c r="O33" s="341">
        <v>99</v>
      </c>
      <c r="P33" s="341">
        <v>-44</v>
      </c>
      <c r="Q33" s="173">
        <f>SUM(M33:P33)</f>
        <v>-365</v>
      </c>
      <c r="R33" s="341">
        <v>128</v>
      </c>
      <c r="S33" s="341">
        <v>43</v>
      </c>
      <c r="T33" s="341">
        <v>160</v>
      </c>
      <c r="U33" s="341">
        <v>101</v>
      </c>
      <c r="V33" s="173">
        <f>SUM(R33:U33)</f>
        <v>432</v>
      </c>
      <c r="W33" s="341">
        <v>160</v>
      </c>
      <c r="X33" s="341">
        <v>156</v>
      </c>
      <c r="Y33" s="341">
        <v>-17</v>
      </c>
      <c r="Z33" s="341">
        <v>6</v>
      </c>
      <c r="AA33" s="173">
        <f>SUM(W33:Z33)</f>
        <v>305</v>
      </c>
    </row>
    <row r="34" spans="1:27" s="20" customFormat="1" ht="17.25" customHeight="1">
      <c r="A34" s="7"/>
      <c r="B34" s="113" t="s">
        <v>195</v>
      </c>
      <c r="C34" s="334"/>
      <c r="D34" s="334"/>
      <c r="E34" s="334"/>
      <c r="F34" s="334"/>
      <c r="G34" s="334"/>
      <c r="H34" s="335">
        <v>0</v>
      </c>
      <c r="I34" s="335">
        <v>0</v>
      </c>
      <c r="J34" s="335">
        <v>-49</v>
      </c>
      <c r="K34" s="335">
        <v>-43</v>
      </c>
      <c r="L34" s="173">
        <f>SUM(H34:K34)</f>
        <v>-92</v>
      </c>
      <c r="M34" s="335">
        <v>0</v>
      </c>
      <c r="N34" s="335">
        <v>21</v>
      </c>
      <c r="O34" s="335">
        <v>207</v>
      </c>
      <c r="P34" s="335">
        <v>58</v>
      </c>
      <c r="Q34" s="114">
        <f>SUM(M34:P34)</f>
        <v>286</v>
      </c>
      <c r="R34" s="335">
        <v>-27</v>
      </c>
      <c r="S34" s="335">
        <v>0</v>
      </c>
      <c r="T34" s="335">
        <v>-21</v>
      </c>
      <c r="U34" s="335">
        <v>0</v>
      </c>
      <c r="V34" s="173">
        <f>SUM(R34:U34)</f>
        <v>-48</v>
      </c>
      <c r="W34" s="335">
        <v>0</v>
      </c>
      <c r="X34" s="335">
        <v>0</v>
      </c>
      <c r="Y34" s="335">
        <v>15</v>
      </c>
      <c r="Z34" s="335">
        <v>-8</v>
      </c>
      <c r="AA34" s="173">
        <f>SUM(W34:Z34)</f>
        <v>7</v>
      </c>
    </row>
    <row r="35" spans="1:27" s="20" customFormat="1" ht="17.25" customHeight="1">
      <c r="A35" s="7"/>
      <c r="B35" s="31" t="s">
        <v>13</v>
      </c>
      <c r="C35" s="334"/>
      <c r="D35" s="334"/>
      <c r="E35" s="334"/>
      <c r="F35" s="334"/>
      <c r="G35" s="334"/>
      <c r="H35" s="335">
        <v>-504</v>
      </c>
      <c r="I35" s="335">
        <v>19</v>
      </c>
      <c r="J35" s="335">
        <v>9</v>
      </c>
      <c r="K35" s="335">
        <v>-144</v>
      </c>
      <c r="L35" s="114">
        <f>SUM(H35:K35)</f>
        <v>-620</v>
      </c>
      <c r="M35" s="335">
        <v>38</v>
      </c>
      <c r="N35" s="335">
        <v>16</v>
      </c>
      <c r="O35" s="335">
        <v>29</v>
      </c>
      <c r="P35" s="335">
        <v>19</v>
      </c>
      <c r="Q35" s="114">
        <f>SUM(M35:P35)</f>
        <v>102</v>
      </c>
      <c r="R35" s="335">
        <v>97</v>
      </c>
      <c r="S35" s="335">
        <v>30</v>
      </c>
      <c r="T35" s="335">
        <v>4</v>
      </c>
      <c r="U35" s="335">
        <v>-16</v>
      </c>
      <c r="V35" s="114">
        <f>SUM(R35:U35)</f>
        <v>115</v>
      </c>
      <c r="W35" s="335">
        <v>-12</v>
      </c>
      <c r="X35" s="335">
        <v>4</v>
      </c>
      <c r="Y35" s="335">
        <v>-16</v>
      </c>
      <c r="Z35" s="335">
        <v>-7</v>
      </c>
      <c r="AA35" s="114">
        <f>SUM(W35:Z35)</f>
        <v>-31</v>
      </c>
    </row>
    <row r="36" spans="1:27" ht="17.25" customHeight="1" thickBot="1">
      <c r="A36" s="7"/>
      <c r="B36" s="30" t="s">
        <v>14</v>
      </c>
      <c r="C36" s="342"/>
      <c r="D36" s="342"/>
      <c r="E36" s="342"/>
      <c r="F36" s="342"/>
      <c r="G36" s="342"/>
      <c r="H36" s="47">
        <f aca="true" t="shared" si="8" ref="H36:M36">IF((SUM(H32:H35))=H7,(SUM(H32:H35)),"Error")</f>
        <v>-46</v>
      </c>
      <c r="I36" s="47">
        <f t="shared" si="8"/>
        <v>660</v>
      </c>
      <c r="J36" s="47">
        <f t="shared" si="8"/>
        <v>374</v>
      </c>
      <c r="K36" s="47">
        <f t="shared" si="8"/>
        <v>-356</v>
      </c>
      <c r="L36" s="47">
        <f t="shared" si="8"/>
        <v>632</v>
      </c>
      <c r="M36" s="47">
        <f t="shared" si="8"/>
        <v>6</v>
      </c>
      <c r="N36" s="47">
        <f aca="true" t="shared" si="9" ref="N36:AA36">IF((SUM(N32:N35))=N7,(SUM(N32:N35)),"Error")</f>
        <v>434</v>
      </c>
      <c r="O36" s="47">
        <f t="shared" si="9"/>
        <v>765</v>
      </c>
      <c r="P36" s="47">
        <f t="shared" si="9"/>
        <v>637</v>
      </c>
      <c r="Q36" s="47">
        <f t="shared" si="9"/>
        <v>1842</v>
      </c>
      <c r="R36" s="47">
        <f t="shared" si="9"/>
        <v>631</v>
      </c>
      <c r="S36" s="47">
        <f t="shared" si="9"/>
        <v>502</v>
      </c>
      <c r="T36" s="47">
        <f t="shared" si="9"/>
        <v>582</v>
      </c>
      <c r="U36" s="47">
        <f t="shared" si="9"/>
        <v>617</v>
      </c>
      <c r="V36" s="47">
        <f t="shared" si="9"/>
        <v>2332</v>
      </c>
      <c r="W36" s="47">
        <f t="shared" si="9"/>
        <v>591</v>
      </c>
      <c r="X36" s="47">
        <f t="shared" si="9"/>
        <v>629</v>
      </c>
      <c r="Y36" s="47">
        <f t="shared" si="9"/>
        <v>471</v>
      </c>
      <c r="Z36" s="47">
        <f t="shared" si="9"/>
        <v>455</v>
      </c>
      <c r="AA36" s="47">
        <f t="shared" si="9"/>
        <v>2146</v>
      </c>
    </row>
    <row r="37" spans="1:27" ht="15" customHeight="1">
      <c r="A37" s="7"/>
      <c r="B37" s="330"/>
      <c r="C37" s="343"/>
      <c r="D37" s="343"/>
      <c r="E37" s="343"/>
      <c r="F37" s="343"/>
      <c r="G37" s="343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</row>
    <row r="38" spans="1:27" ht="17.25" customHeight="1">
      <c r="A38" s="7"/>
      <c r="B38" s="13" t="s">
        <v>196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20" customFormat="1" ht="17.25" customHeight="1">
      <c r="A39" s="7"/>
      <c r="B39" s="26" t="s">
        <v>197</v>
      </c>
      <c r="C39" s="345"/>
      <c r="D39" s="345"/>
      <c r="E39" s="345"/>
      <c r="F39" s="345"/>
      <c r="G39" s="345"/>
      <c r="H39" s="123">
        <v>337</v>
      </c>
      <c r="I39" s="123">
        <v>342</v>
      </c>
      <c r="J39" s="123">
        <v>360</v>
      </c>
      <c r="K39" s="123">
        <v>278</v>
      </c>
      <c r="L39" s="50">
        <f>SUM(H39:K39)</f>
        <v>1317</v>
      </c>
      <c r="M39" s="123">
        <v>218</v>
      </c>
      <c r="N39" s="123">
        <v>246</v>
      </c>
      <c r="O39" s="123">
        <v>240</v>
      </c>
      <c r="P39" s="123">
        <v>383</v>
      </c>
      <c r="Q39" s="50">
        <f>SUM(M39:P39)</f>
        <v>1087</v>
      </c>
      <c r="R39" s="123">
        <v>250</v>
      </c>
      <c r="S39" s="123">
        <v>261</v>
      </c>
      <c r="T39" s="123">
        <v>296</v>
      </c>
      <c r="U39" s="123">
        <v>386</v>
      </c>
      <c r="V39" s="50">
        <f>SUM(R39:U39)</f>
        <v>1193</v>
      </c>
      <c r="W39" s="123">
        <v>276</v>
      </c>
      <c r="X39" s="123">
        <v>309</v>
      </c>
      <c r="Y39" s="123">
        <v>348</v>
      </c>
      <c r="Z39" s="123">
        <v>314</v>
      </c>
      <c r="AA39" s="50">
        <f>SUM(W39:Z39)</f>
        <v>1247</v>
      </c>
    </row>
    <row r="40" spans="1:27" s="20" customFormat="1" ht="17.25" customHeight="1">
      <c r="A40" s="7"/>
      <c r="B40" s="21" t="s">
        <v>198</v>
      </c>
      <c r="C40" s="346"/>
      <c r="D40" s="346"/>
      <c r="E40" s="346"/>
      <c r="F40" s="346"/>
      <c r="G40" s="346"/>
      <c r="H40" s="119">
        <v>174</v>
      </c>
      <c r="I40" s="119">
        <v>176</v>
      </c>
      <c r="J40" s="119">
        <v>169</v>
      </c>
      <c r="K40" s="119">
        <v>136</v>
      </c>
      <c r="L40" s="53">
        <f>SUM(H40:K40)</f>
        <v>655</v>
      </c>
      <c r="M40" s="119">
        <v>122</v>
      </c>
      <c r="N40" s="119">
        <v>109</v>
      </c>
      <c r="O40" s="119">
        <v>118</v>
      </c>
      <c r="P40" s="119">
        <v>115</v>
      </c>
      <c r="Q40" s="53">
        <f>SUM(M40:P40)</f>
        <v>464</v>
      </c>
      <c r="R40" s="119">
        <v>125</v>
      </c>
      <c r="S40" s="119">
        <v>132</v>
      </c>
      <c r="T40" s="119">
        <v>135</v>
      </c>
      <c r="U40" s="119">
        <v>129</v>
      </c>
      <c r="V40" s="53">
        <f>SUM(R40:U40)</f>
        <v>521</v>
      </c>
      <c r="W40" s="119">
        <v>129</v>
      </c>
      <c r="X40" s="119">
        <v>131</v>
      </c>
      <c r="Y40" s="119">
        <v>124</v>
      </c>
      <c r="Z40" s="119">
        <v>121</v>
      </c>
      <c r="AA40" s="53">
        <f>SUM(W40:Z40)</f>
        <v>505</v>
      </c>
    </row>
    <row r="41" spans="1:27" s="20" customFormat="1" ht="17.25" customHeight="1">
      <c r="A41" s="7"/>
      <c r="B41" s="17" t="s">
        <v>199</v>
      </c>
      <c r="C41" s="347"/>
      <c r="D41" s="347"/>
      <c r="E41" s="347"/>
      <c r="F41" s="347"/>
      <c r="G41" s="347"/>
      <c r="H41" s="118">
        <v>13</v>
      </c>
      <c r="I41" s="118">
        <v>9</v>
      </c>
      <c r="J41" s="118">
        <v>7</v>
      </c>
      <c r="K41" s="118">
        <v>-59</v>
      </c>
      <c r="L41" s="55">
        <f>SUM(H41:K41)</f>
        <v>-30</v>
      </c>
      <c r="M41" s="118">
        <v>21</v>
      </c>
      <c r="N41" s="118">
        <v>42</v>
      </c>
      <c r="O41" s="118">
        <v>246</v>
      </c>
      <c r="P41" s="118">
        <v>116</v>
      </c>
      <c r="Q41" s="55">
        <f>SUM(M41:P41)</f>
        <v>425</v>
      </c>
      <c r="R41" s="118">
        <v>16</v>
      </c>
      <c r="S41" s="118">
        <v>35</v>
      </c>
      <c r="T41" s="118">
        <v>1</v>
      </c>
      <c r="U41" s="118">
        <v>11</v>
      </c>
      <c r="V41" s="55">
        <f>SUM(R41:U41)</f>
        <v>63</v>
      </c>
      <c r="W41" s="118">
        <v>41</v>
      </c>
      <c r="X41" s="118">
        <v>39</v>
      </c>
      <c r="Y41" s="118">
        <v>22</v>
      </c>
      <c r="Z41" s="118">
        <v>21</v>
      </c>
      <c r="AA41" s="55">
        <f>SUM(W41:Z41)</f>
        <v>123</v>
      </c>
    </row>
    <row r="42" spans="1:27" s="20" customFormat="1" ht="17.25" customHeight="1">
      <c r="A42" s="7"/>
      <c r="B42" s="31" t="s">
        <v>7</v>
      </c>
      <c r="C42" s="348"/>
      <c r="D42" s="348"/>
      <c r="E42" s="348"/>
      <c r="F42" s="348"/>
      <c r="G42" s="348"/>
      <c r="H42" s="124">
        <v>-561</v>
      </c>
      <c r="I42" s="124">
        <v>76</v>
      </c>
      <c r="J42" s="124">
        <v>-53</v>
      </c>
      <c r="K42" s="124">
        <v>-116</v>
      </c>
      <c r="L42" s="51">
        <f>SUM(H42:K42)</f>
        <v>-654</v>
      </c>
      <c r="M42" s="124">
        <v>38</v>
      </c>
      <c r="N42" s="124">
        <v>64</v>
      </c>
      <c r="O42" s="124">
        <v>62</v>
      </c>
      <c r="P42" s="124">
        <v>67</v>
      </c>
      <c r="Q42" s="51">
        <f>SUM(M42:P42)</f>
        <v>231</v>
      </c>
      <c r="R42" s="124">
        <v>112</v>
      </c>
      <c r="S42" s="124">
        <v>31</v>
      </c>
      <c r="T42" s="124">
        <v>-10</v>
      </c>
      <c r="U42" s="124">
        <v>-10</v>
      </c>
      <c r="V42" s="51">
        <f>SUM(R42:U42)</f>
        <v>123</v>
      </c>
      <c r="W42" s="124">
        <v>-15</v>
      </c>
      <c r="X42" s="124">
        <v>-6</v>
      </c>
      <c r="Y42" s="124">
        <v>-6</v>
      </c>
      <c r="Z42" s="124">
        <v>-7</v>
      </c>
      <c r="AA42" s="51">
        <f>SUM(W42:Z42)</f>
        <v>-34</v>
      </c>
    </row>
    <row r="43" spans="1:27" s="20" customFormat="1" ht="33" customHeight="1" thickBot="1">
      <c r="A43" s="7"/>
      <c r="B43" s="46" t="s">
        <v>200</v>
      </c>
      <c r="C43" s="349"/>
      <c r="D43" s="349"/>
      <c r="E43" s="349"/>
      <c r="F43" s="349"/>
      <c r="G43" s="349"/>
      <c r="H43" s="47">
        <f aca="true" t="shared" si="10" ref="H43:Z43">SUM(H39:H42)</f>
        <v>-37</v>
      </c>
      <c r="I43" s="47">
        <f t="shared" si="10"/>
        <v>603</v>
      </c>
      <c r="J43" s="47">
        <f t="shared" si="10"/>
        <v>483</v>
      </c>
      <c r="K43" s="47">
        <f t="shared" si="10"/>
        <v>239</v>
      </c>
      <c r="L43" s="47">
        <f t="shared" si="10"/>
        <v>1288</v>
      </c>
      <c r="M43" s="47">
        <f t="shared" si="10"/>
        <v>399</v>
      </c>
      <c r="N43" s="47">
        <f t="shared" si="10"/>
        <v>461</v>
      </c>
      <c r="O43" s="47">
        <f t="shared" si="10"/>
        <v>666</v>
      </c>
      <c r="P43" s="47">
        <f t="shared" si="10"/>
        <v>681</v>
      </c>
      <c r="Q43" s="47">
        <f t="shared" si="10"/>
        <v>2207</v>
      </c>
      <c r="R43" s="47">
        <f t="shared" si="10"/>
        <v>503</v>
      </c>
      <c r="S43" s="47">
        <f t="shared" si="10"/>
        <v>459</v>
      </c>
      <c r="T43" s="47">
        <f t="shared" si="10"/>
        <v>422</v>
      </c>
      <c r="U43" s="47">
        <f t="shared" si="10"/>
        <v>516</v>
      </c>
      <c r="V43" s="47">
        <f t="shared" si="10"/>
        <v>1900</v>
      </c>
      <c r="W43" s="47">
        <f t="shared" si="10"/>
        <v>431</v>
      </c>
      <c r="X43" s="47">
        <f t="shared" si="10"/>
        <v>473</v>
      </c>
      <c r="Y43" s="47">
        <f t="shared" si="10"/>
        <v>488</v>
      </c>
      <c r="Z43" s="47">
        <f t="shared" si="10"/>
        <v>449</v>
      </c>
      <c r="AA43" s="47">
        <f>SUM(AA39:AA42)</f>
        <v>1841</v>
      </c>
    </row>
    <row r="44" spans="1:27" s="20" customFormat="1" ht="17.25" customHeight="1">
      <c r="A44" s="7"/>
      <c r="B44" s="146" t="s">
        <v>194</v>
      </c>
      <c r="C44" s="350"/>
      <c r="D44" s="350"/>
      <c r="E44" s="350"/>
      <c r="F44" s="350"/>
      <c r="G44" s="350"/>
      <c r="H44" s="351">
        <f>+H33</f>
        <v>-9</v>
      </c>
      <c r="I44" s="351">
        <f>+I33</f>
        <v>57</v>
      </c>
      <c r="J44" s="351">
        <f>+J33</f>
        <v>-109</v>
      </c>
      <c r="K44" s="351">
        <v>-595</v>
      </c>
      <c r="L44" s="351">
        <f>+L33</f>
        <v>-656</v>
      </c>
      <c r="M44" s="351">
        <f>+M33</f>
        <v>-393</v>
      </c>
      <c r="N44" s="351">
        <f aca="true" t="shared" si="11" ref="N44:W44">N33</f>
        <v>-27</v>
      </c>
      <c r="O44" s="351">
        <f t="shared" si="11"/>
        <v>99</v>
      </c>
      <c r="P44" s="351">
        <f t="shared" si="11"/>
        <v>-44</v>
      </c>
      <c r="Q44" s="351">
        <f t="shared" si="11"/>
        <v>-365</v>
      </c>
      <c r="R44" s="351">
        <f t="shared" si="11"/>
        <v>128</v>
      </c>
      <c r="S44" s="351">
        <f t="shared" si="11"/>
        <v>43</v>
      </c>
      <c r="T44" s="351">
        <f t="shared" si="11"/>
        <v>160</v>
      </c>
      <c r="U44" s="351">
        <f t="shared" si="11"/>
        <v>101</v>
      </c>
      <c r="V44" s="351">
        <f t="shared" si="11"/>
        <v>432</v>
      </c>
      <c r="W44" s="351">
        <f t="shared" si="11"/>
        <v>160</v>
      </c>
      <c r="X44" s="351">
        <f>X33</f>
        <v>156</v>
      </c>
      <c r="Y44" s="351">
        <f>Y33</f>
        <v>-17</v>
      </c>
      <c r="Z44" s="351">
        <f>Z33</f>
        <v>6</v>
      </c>
      <c r="AA44" s="351">
        <f>AA33</f>
        <v>305</v>
      </c>
    </row>
    <row r="45" spans="1:27" s="20" customFormat="1" ht="17.25" customHeight="1" thickBot="1">
      <c r="A45" s="7"/>
      <c r="B45" s="30" t="s">
        <v>14</v>
      </c>
      <c r="C45" s="342"/>
      <c r="D45" s="342"/>
      <c r="E45" s="342"/>
      <c r="F45" s="342"/>
      <c r="G45" s="342"/>
      <c r="H45" s="47">
        <f aca="true" t="shared" si="12" ref="H45:Z45">IF((SUM(H43:H44))=H7,SUM(H43:H44),"Error")</f>
        <v>-46</v>
      </c>
      <c r="I45" s="47">
        <f t="shared" si="12"/>
        <v>660</v>
      </c>
      <c r="J45" s="47">
        <f t="shared" si="12"/>
        <v>374</v>
      </c>
      <c r="K45" s="47">
        <f t="shared" si="12"/>
        <v>-356</v>
      </c>
      <c r="L45" s="47">
        <f t="shared" si="12"/>
        <v>632</v>
      </c>
      <c r="M45" s="47">
        <f>IF((SUM(M43:M44))=M7,SUM(M43:M44),"Error")</f>
        <v>6</v>
      </c>
      <c r="N45" s="47">
        <f t="shared" si="12"/>
        <v>434</v>
      </c>
      <c r="O45" s="47">
        <f t="shared" si="12"/>
        <v>765</v>
      </c>
      <c r="P45" s="47">
        <f t="shared" si="12"/>
        <v>637</v>
      </c>
      <c r="Q45" s="47">
        <f t="shared" si="12"/>
        <v>1842</v>
      </c>
      <c r="R45" s="47">
        <f>IF((SUM(R43:R44))=R7,SUM(R43:R44),"Error")</f>
        <v>631</v>
      </c>
      <c r="S45" s="47">
        <f t="shared" si="12"/>
        <v>502</v>
      </c>
      <c r="T45" s="47">
        <f t="shared" si="12"/>
        <v>582</v>
      </c>
      <c r="U45" s="47">
        <f t="shared" si="12"/>
        <v>617</v>
      </c>
      <c r="V45" s="47">
        <f t="shared" si="12"/>
        <v>2332</v>
      </c>
      <c r="W45" s="47">
        <f t="shared" si="12"/>
        <v>591</v>
      </c>
      <c r="X45" s="47">
        <f t="shared" si="12"/>
        <v>629</v>
      </c>
      <c r="Y45" s="47">
        <f t="shared" si="12"/>
        <v>471</v>
      </c>
      <c r="Z45" s="47">
        <f t="shared" si="12"/>
        <v>455</v>
      </c>
      <c r="AA45" s="47">
        <f>IF((SUM(AA43:AA44))=AA7,SUM(AA43:AA44),"Error")</f>
        <v>2146</v>
      </c>
    </row>
    <row r="46" spans="1:27" ht="12" customHeight="1">
      <c r="A46" s="7"/>
      <c r="B46" s="330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1:27" ht="17.25" customHeight="1">
      <c r="A47" s="7"/>
      <c r="B47" s="13" t="s">
        <v>201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</row>
    <row r="48" spans="1:27" s="20" customFormat="1" ht="17.25" customHeight="1" thickBot="1">
      <c r="A48" s="7"/>
      <c r="B48" s="65" t="s">
        <v>202</v>
      </c>
      <c r="C48" s="342"/>
      <c r="D48" s="342"/>
      <c r="E48" s="342"/>
      <c r="F48" s="342"/>
      <c r="G48" s="342"/>
      <c r="H48" s="67">
        <v>33</v>
      </c>
      <c r="I48" s="67">
        <v>44</v>
      </c>
      <c r="J48" s="67">
        <v>41</v>
      </c>
      <c r="K48" s="67">
        <v>38</v>
      </c>
      <c r="L48" s="67">
        <v>39</v>
      </c>
      <c r="M48" s="67">
        <v>35</v>
      </c>
      <c r="N48" s="67">
        <v>41</v>
      </c>
      <c r="O48" s="67">
        <v>41</v>
      </c>
      <c r="P48" s="67">
        <v>57</v>
      </c>
      <c r="Q48" s="67">
        <v>43</v>
      </c>
      <c r="R48" s="67">
        <v>41</v>
      </c>
      <c r="S48" s="67">
        <v>39</v>
      </c>
      <c r="T48" s="67">
        <v>42</v>
      </c>
      <c r="U48" s="67">
        <v>50</v>
      </c>
      <c r="V48" s="67">
        <v>43</v>
      </c>
      <c r="W48" s="67">
        <v>41</v>
      </c>
      <c r="X48" s="67">
        <v>44</v>
      </c>
      <c r="Y48" s="67">
        <v>48</v>
      </c>
      <c r="Z48" s="67">
        <v>45</v>
      </c>
      <c r="AA48" s="67">
        <v>44</v>
      </c>
    </row>
    <row r="49" spans="1:27" ht="12" customHeight="1">
      <c r="A49" s="7"/>
      <c r="B49" s="330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</row>
    <row r="50" spans="1:27" s="20" customFormat="1" ht="17.25" customHeight="1">
      <c r="A50" s="7"/>
      <c r="B50" s="37"/>
      <c r="C50" s="19"/>
      <c r="D50" s="19"/>
      <c r="E50" s="19"/>
      <c r="F50" s="33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21.75" customHeight="1" thickBot="1">
      <c r="A51" s="7"/>
      <c r="B51" s="9" t="s">
        <v>203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24" customHeight="1" thickTop="1">
      <c r="A52" s="7"/>
      <c r="B52" s="13" t="s">
        <v>30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20" customFormat="1" ht="17.25" customHeight="1">
      <c r="A53" s="7"/>
      <c r="B53" s="32" t="s">
        <v>197</v>
      </c>
      <c r="C53" s="352"/>
      <c r="D53" s="352"/>
      <c r="E53" s="352"/>
      <c r="F53" s="352"/>
      <c r="G53" s="352"/>
      <c r="H53" s="58">
        <f aca="true" t="shared" si="13" ref="H53:W53">SUM(H54:H60)</f>
        <v>186.4</v>
      </c>
      <c r="I53" s="58">
        <f t="shared" si="13"/>
        <v>197.7</v>
      </c>
      <c r="J53" s="58">
        <f t="shared" si="13"/>
        <v>196.4</v>
      </c>
      <c r="K53" s="58">
        <f t="shared" si="13"/>
        <v>169.4</v>
      </c>
      <c r="L53" s="58">
        <f t="shared" si="13"/>
        <v>169.4</v>
      </c>
      <c r="M53" s="58">
        <f t="shared" si="13"/>
        <v>166.3</v>
      </c>
      <c r="N53" s="58">
        <f t="shared" si="13"/>
        <v>167.9</v>
      </c>
      <c r="O53" s="58">
        <f t="shared" si="13"/>
        <v>176.1</v>
      </c>
      <c r="P53" s="58">
        <f t="shared" si="13"/>
        <v>185.5</v>
      </c>
      <c r="Q53" s="58">
        <f t="shared" si="13"/>
        <v>185.5</v>
      </c>
      <c r="R53" s="58">
        <f>SUM(R54:R60)</f>
        <v>193.8</v>
      </c>
      <c r="S53" s="58">
        <f t="shared" si="13"/>
        <v>190.6</v>
      </c>
      <c r="T53" s="58">
        <f t="shared" si="13"/>
        <v>189.5</v>
      </c>
      <c r="U53" s="58">
        <f t="shared" si="13"/>
        <v>196</v>
      </c>
      <c r="V53" s="58">
        <f t="shared" si="13"/>
        <v>196</v>
      </c>
      <c r="W53" s="58">
        <f t="shared" si="13"/>
        <v>198.9</v>
      </c>
      <c r="X53" s="58">
        <f>SUM(X54:X60)</f>
        <v>190.7</v>
      </c>
      <c r="Y53" s="58">
        <f>SUM(Y54:Y60)</f>
        <v>188.3</v>
      </c>
      <c r="Z53" s="58">
        <f>SUM(Z54:Z60)</f>
        <v>190.9</v>
      </c>
      <c r="AA53" s="58">
        <f>SUM(AA54:AA60)</f>
        <v>190.9</v>
      </c>
    </row>
    <row r="54" spans="1:27" s="20" customFormat="1" ht="17.25" customHeight="1">
      <c r="A54" s="7"/>
      <c r="B54" s="183" t="s">
        <v>204</v>
      </c>
      <c r="C54" s="353"/>
      <c r="D54" s="353"/>
      <c r="E54" s="353"/>
      <c r="F54" s="353"/>
      <c r="G54" s="354"/>
      <c r="H54" s="81">
        <v>43.5</v>
      </c>
      <c r="I54" s="81">
        <v>44</v>
      </c>
      <c r="J54" s="81">
        <v>40.4</v>
      </c>
      <c r="K54" s="81">
        <v>31.6</v>
      </c>
      <c r="L54" s="61">
        <f aca="true" t="shared" si="14" ref="L54:L60">+K54</f>
        <v>31.6</v>
      </c>
      <c r="M54" s="81">
        <v>24.8</v>
      </c>
      <c r="N54" s="81">
        <v>25.4</v>
      </c>
      <c r="O54" s="81">
        <v>24.9</v>
      </c>
      <c r="P54" s="81">
        <v>25.2</v>
      </c>
      <c r="Q54" s="61">
        <f aca="true" t="shared" si="15" ref="Q54:Q60">+P54</f>
        <v>25.2</v>
      </c>
      <c r="R54" s="81">
        <v>25</v>
      </c>
      <c r="S54" s="81">
        <v>24.5</v>
      </c>
      <c r="T54" s="81">
        <v>23.3</v>
      </c>
      <c r="U54" s="81">
        <v>27.3</v>
      </c>
      <c r="V54" s="61">
        <f aca="true" t="shared" si="16" ref="V54:V60">+U54</f>
        <v>27.3</v>
      </c>
      <c r="W54" s="81">
        <v>27.2</v>
      </c>
      <c r="X54" s="81">
        <v>25.5</v>
      </c>
      <c r="Y54" s="81">
        <v>25.6</v>
      </c>
      <c r="Z54" s="81">
        <v>24.9</v>
      </c>
      <c r="AA54" s="61">
        <f aca="true" t="shared" si="17" ref="AA54:AA60">+Z54</f>
        <v>24.9</v>
      </c>
    </row>
    <row r="55" spans="1:27" s="20" customFormat="1" ht="17.25" customHeight="1">
      <c r="A55" s="7"/>
      <c r="B55" s="183" t="s">
        <v>205</v>
      </c>
      <c r="C55" s="355"/>
      <c r="D55" s="355"/>
      <c r="E55" s="355"/>
      <c r="F55" s="355"/>
      <c r="G55" s="356"/>
      <c r="H55" s="357">
        <v>29.1</v>
      </c>
      <c r="I55" s="357">
        <v>32.6</v>
      </c>
      <c r="J55" s="357">
        <v>40.5</v>
      </c>
      <c r="K55" s="357">
        <v>36.6</v>
      </c>
      <c r="L55" s="358">
        <f t="shared" si="14"/>
        <v>36.6</v>
      </c>
      <c r="M55" s="357">
        <v>37.3</v>
      </c>
      <c r="N55" s="357">
        <v>33.8</v>
      </c>
      <c r="O55" s="357">
        <v>32.3</v>
      </c>
      <c r="P55" s="357">
        <v>32.2</v>
      </c>
      <c r="Q55" s="358">
        <f t="shared" si="15"/>
        <v>32.2</v>
      </c>
      <c r="R55" s="357">
        <v>33.6</v>
      </c>
      <c r="S55" s="357">
        <v>34.7</v>
      </c>
      <c r="T55" s="357">
        <v>32.4</v>
      </c>
      <c r="U55" s="357">
        <v>30.8</v>
      </c>
      <c r="V55" s="358">
        <f t="shared" si="16"/>
        <v>30.8</v>
      </c>
      <c r="W55" s="357">
        <v>30</v>
      </c>
      <c r="X55" s="357">
        <v>28.5</v>
      </c>
      <c r="Y55" s="357">
        <v>27.2</v>
      </c>
      <c r="Z55" s="357">
        <v>28.4</v>
      </c>
      <c r="AA55" s="358">
        <f t="shared" si="17"/>
        <v>28.4</v>
      </c>
    </row>
    <row r="56" spans="1:27" s="20" customFormat="1" ht="17.25" customHeight="1">
      <c r="A56" s="7"/>
      <c r="B56" s="183" t="s">
        <v>206</v>
      </c>
      <c r="C56" s="355"/>
      <c r="D56" s="355"/>
      <c r="E56" s="355"/>
      <c r="F56" s="355"/>
      <c r="G56" s="356"/>
      <c r="H56" s="357">
        <v>38.3</v>
      </c>
      <c r="I56" s="357">
        <v>40.4</v>
      </c>
      <c r="J56" s="357">
        <v>40.4</v>
      </c>
      <c r="K56" s="357">
        <v>36.2</v>
      </c>
      <c r="L56" s="358">
        <f t="shared" si="14"/>
        <v>36.2</v>
      </c>
      <c r="M56" s="357">
        <v>37.1</v>
      </c>
      <c r="N56" s="357">
        <v>37.5</v>
      </c>
      <c r="O56" s="357">
        <v>37.7</v>
      </c>
      <c r="P56" s="357">
        <v>41.5</v>
      </c>
      <c r="Q56" s="358">
        <f t="shared" si="15"/>
        <v>41.5</v>
      </c>
      <c r="R56" s="357">
        <v>42.2</v>
      </c>
      <c r="S56" s="357">
        <v>41.2</v>
      </c>
      <c r="T56" s="357">
        <v>41.3</v>
      </c>
      <c r="U56" s="357">
        <v>43.4</v>
      </c>
      <c r="V56" s="358">
        <f t="shared" si="16"/>
        <v>43.4</v>
      </c>
      <c r="W56" s="357">
        <v>45.5</v>
      </c>
      <c r="X56" s="357">
        <v>45.5</v>
      </c>
      <c r="Y56" s="357">
        <v>46.6</v>
      </c>
      <c r="Z56" s="357">
        <v>47.1</v>
      </c>
      <c r="AA56" s="358">
        <f t="shared" si="17"/>
        <v>47.1</v>
      </c>
    </row>
    <row r="57" spans="1:27" s="20" customFormat="1" ht="17.25" customHeight="1">
      <c r="A57" s="7"/>
      <c r="B57" s="183" t="s">
        <v>207</v>
      </c>
      <c r="C57" s="355"/>
      <c r="D57" s="355"/>
      <c r="E57" s="355"/>
      <c r="F57" s="355"/>
      <c r="G57" s="356"/>
      <c r="H57" s="357">
        <v>21.1</v>
      </c>
      <c r="I57" s="357">
        <v>23.8</v>
      </c>
      <c r="J57" s="357">
        <v>21.4</v>
      </c>
      <c r="K57" s="357">
        <v>15.3</v>
      </c>
      <c r="L57" s="358">
        <f t="shared" si="14"/>
        <v>15.3</v>
      </c>
      <c r="M57" s="357">
        <v>15.9</v>
      </c>
      <c r="N57" s="357">
        <v>16.9</v>
      </c>
      <c r="O57" s="357">
        <v>17.8</v>
      </c>
      <c r="P57" s="357">
        <v>18.5</v>
      </c>
      <c r="Q57" s="358">
        <f t="shared" si="15"/>
        <v>18.5</v>
      </c>
      <c r="R57" s="357">
        <v>19.8</v>
      </c>
      <c r="S57" s="357">
        <v>19.8</v>
      </c>
      <c r="T57" s="357">
        <v>17.8</v>
      </c>
      <c r="U57" s="357">
        <v>18.3</v>
      </c>
      <c r="V57" s="358">
        <f t="shared" si="16"/>
        <v>18.3</v>
      </c>
      <c r="W57" s="357">
        <v>18.5</v>
      </c>
      <c r="X57" s="357">
        <v>17.6</v>
      </c>
      <c r="Y57" s="357">
        <v>17.7</v>
      </c>
      <c r="Z57" s="357">
        <v>19</v>
      </c>
      <c r="AA57" s="358">
        <f t="shared" si="17"/>
        <v>19</v>
      </c>
    </row>
    <row r="58" spans="1:27" s="20" customFormat="1" ht="17.25" customHeight="1">
      <c r="A58" s="7"/>
      <c r="B58" s="183" t="s">
        <v>208</v>
      </c>
      <c r="C58" s="355"/>
      <c r="D58" s="355"/>
      <c r="E58" s="355"/>
      <c r="F58" s="355"/>
      <c r="G58" s="356"/>
      <c r="H58" s="357">
        <v>0</v>
      </c>
      <c r="I58" s="357">
        <v>0</v>
      </c>
      <c r="J58" s="357">
        <v>0</v>
      </c>
      <c r="K58" s="357">
        <v>6.4</v>
      </c>
      <c r="L58" s="358">
        <f t="shared" si="14"/>
        <v>6.4</v>
      </c>
      <c r="M58" s="357">
        <v>5.7</v>
      </c>
      <c r="N58" s="357">
        <v>6.7</v>
      </c>
      <c r="O58" s="357">
        <v>7.9</v>
      </c>
      <c r="P58" s="357">
        <v>10</v>
      </c>
      <c r="Q58" s="358">
        <f t="shared" si="15"/>
        <v>10</v>
      </c>
      <c r="R58" s="357">
        <v>11.9</v>
      </c>
      <c r="S58" s="357">
        <v>11.6</v>
      </c>
      <c r="T58" s="357">
        <v>13</v>
      </c>
      <c r="U58" s="357">
        <v>14.6</v>
      </c>
      <c r="V58" s="358">
        <f t="shared" si="16"/>
        <v>14.6</v>
      </c>
      <c r="W58" s="357">
        <v>15.1</v>
      </c>
      <c r="X58" s="357">
        <v>15.2</v>
      </c>
      <c r="Y58" s="357">
        <v>14.4</v>
      </c>
      <c r="Z58" s="357">
        <v>14.6</v>
      </c>
      <c r="AA58" s="358">
        <f t="shared" si="17"/>
        <v>14.6</v>
      </c>
    </row>
    <row r="59" spans="1:27" s="20" customFormat="1" ht="17.25" customHeight="1">
      <c r="A59" s="7"/>
      <c r="B59" s="183" t="s">
        <v>209</v>
      </c>
      <c r="C59" s="355"/>
      <c r="D59" s="355"/>
      <c r="E59" s="355"/>
      <c r="F59" s="355"/>
      <c r="G59" s="356"/>
      <c r="H59" s="357">
        <v>46.5</v>
      </c>
      <c r="I59" s="357">
        <v>48.5</v>
      </c>
      <c r="J59" s="357">
        <v>47.1</v>
      </c>
      <c r="K59" s="357">
        <v>38.1</v>
      </c>
      <c r="L59" s="358">
        <f t="shared" si="14"/>
        <v>38.1</v>
      </c>
      <c r="M59" s="357">
        <v>39.7</v>
      </c>
      <c r="N59" s="357">
        <v>41.7</v>
      </c>
      <c r="O59" s="357">
        <v>49.4</v>
      </c>
      <c r="P59" s="357">
        <v>51.9</v>
      </c>
      <c r="Q59" s="358">
        <f t="shared" si="15"/>
        <v>51.9</v>
      </c>
      <c r="R59" s="357">
        <v>54.5</v>
      </c>
      <c r="S59" s="357">
        <v>52.3</v>
      </c>
      <c r="T59" s="357">
        <v>54.1</v>
      </c>
      <c r="U59" s="357">
        <v>54.2</v>
      </c>
      <c r="V59" s="358">
        <f t="shared" si="16"/>
        <v>54.2</v>
      </c>
      <c r="W59" s="357">
        <v>55.6</v>
      </c>
      <c r="X59" s="357">
        <v>53</v>
      </c>
      <c r="Y59" s="357">
        <v>50.7</v>
      </c>
      <c r="Z59" s="357">
        <v>51.5</v>
      </c>
      <c r="AA59" s="358">
        <f t="shared" si="17"/>
        <v>51.5</v>
      </c>
    </row>
    <row r="60" spans="1:27" s="20" customFormat="1" ht="17.25" customHeight="1">
      <c r="A60" s="7"/>
      <c r="B60" s="359" t="s">
        <v>210</v>
      </c>
      <c r="C60" s="360"/>
      <c r="D60" s="360"/>
      <c r="E60" s="360"/>
      <c r="F60" s="360"/>
      <c r="G60" s="361"/>
      <c r="H60" s="130">
        <v>7.9</v>
      </c>
      <c r="I60" s="130">
        <v>8.4</v>
      </c>
      <c r="J60" s="130">
        <v>6.6</v>
      </c>
      <c r="K60" s="130">
        <v>5.2</v>
      </c>
      <c r="L60" s="62">
        <f t="shared" si="14"/>
        <v>5.2</v>
      </c>
      <c r="M60" s="130">
        <v>5.8</v>
      </c>
      <c r="N60" s="130">
        <v>5.9</v>
      </c>
      <c r="O60" s="130">
        <v>6.1</v>
      </c>
      <c r="P60" s="130">
        <v>6.2</v>
      </c>
      <c r="Q60" s="62">
        <f t="shared" si="15"/>
        <v>6.2</v>
      </c>
      <c r="R60" s="130">
        <v>6.8</v>
      </c>
      <c r="S60" s="130">
        <v>6.5</v>
      </c>
      <c r="T60" s="130">
        <v>7.6</v>
      </c>
      <c r="U60" s="130">
        <v>7.4</v>
      </c>
      <c r="V60" s="62">
        <f t="shared" si="16"/>
        <v>7.4</v>
      </c>
      <c r="W60" s="130">
        <v>7</v>
      </c>
      <c r="X60" s="130">
        <v>5.4</v>
      </c>
      <c r="Y60" s="130">
        <v>6.1</v>
      </c>
      <c r="Z60" s="130">
        <v>5.4</v>
      </c>
      <c r="AA60" s="62">
        <f t="shared" si="17"/>
        <v>5.4</v>
      </c>
    </row>
    <row r="61" spans="1:27" s="20" customFormat="1" ht="17.25" customHeight="1">
      <c r="A61" s="7"/>
      <c r="B61" s="32" t="s">
        <v>198</v>
      </c>
      <c r="C61" s="352"/>
      <c r="D61" s="352"/>
      <c r="E61" s="352"/>
      <c r="F61" s="352"/>
      <c r="G61" s="352"/>
      <c r="H61" s="58">
        <f aca="true" t="shared" si="18" ref="H61:W61">SUM(H62:H64)</f>
        <v>262.4</v>
      </c>
      <c r="I61" s="58">
        <f t="shared" si="18"/>
        <v>249.5</v>
      </c>
      <c r="J61" s="58">
        <f t="shared" si="18"/>
        <v>238.6</v>
      </c>
      <c r="K61" s="58">
        <f t="shared" si="18"/>
        <v>204.3</v>
      </c>
      <c r="L61" s="58">
        <f t="shared" si="18"/>
        <v>204.3</v>
      </c>
      <c r="M61" s="58">
        <f t="shared" si="18"/>
        <v>212.7</v>
      </c>
      <c r="N61" s="58">
        <f t="shared" si="18"/>
        <v>217.3</v>
      </c>
      <c r="O61" s="58">
        <f t="shared" si="18"/>
        <v>233.7</v>
      </c>
      <c r="P61" s="58">
        <f t="shared" si="18"/>
        <v>230.2</v>
      </c>
      <c r="Q61" s="58">
        <f t="shared" si="18"/>
        <v>230.2</v>
      </c>
      <c r="R61" s="58">
        <f t="shared" si="18"/>
        <v>240</v>
      </c>
      <c r="S61" s="58">
        <f t="shared" si="18"/>
        <v>232.1</v>
      </c>
      <c r="T61" s="58">
        <f t="shared" si="18"/>
        <v>233.3</v>
      </c>
      <c r="U61" s="58">
        <f t="shared" si="18"/>
        <v>229.4</v>
      </c>
      <c r="V61" s="58">
        <f t="shared" si="18"/>
        <v>229.4</v>
      </c>
      <c r="W61" s="58">
        <f t="shared" si="18"/>
        <v>236.5</v>
      </c>
      <c r="X61" s="58">
        <f>SUM(X62:X64)</f>
        <v>230.2</v>
      </c>
      <c r="Y61" s="58">
        <f>SUM(Y62:Y64)</f>
        <v>220.5</v>
      </c>
      <c r="Z61" s="58">
        <f>SUM(Z62:Z64)</f>
        <v>216.2</v>
      </c>
      <c r="AA61" s="58">
        <f>SUM(AA62:AA64)</f>
        <v>216.2</v>
      </c>
    </row>
    <row r="62" spans="1:27" s="20" customFormat="1" ht="17.25" customHeight="1">
      <c r="A62" s="7"/>
      <c r="B62" s="183" t="s">
        <v>211</v>
      </c>
      <c r="C62" s="355"/>
      <c r="D62" s="355"/>
      <c r="E62" s="355"/>
      <c r="F62" s="355"/>
      <c r="G62" s="356"/>
      <c r="H62" s="357">
        <v>138.9</v>
      </c>
      <c r="I62" s="357">
        <v>133.9</v>
      </c>
      <c r="J62" s="357">
        <v>123.9</v>
      </c>
      <c r="K62" s="357">
        <v>101.2</v>
      </c>
      <c r="L62" s="358">
        <f>+K62</f>
        <v>101.2</v>
      </c>
      <c r="M62" s="357">
        <v>109.8</v>
      </c>
      <c r="N62" s="357">
        <v>110.5</v>
      </c>
      <c r="O62" s="357">
        <v>119.7</v>
      </c>
      <c r="P62" s="357">
        <v>117.4</v>
      </c>
      <c r="Q62" s="358">
        <f>+P62</f>
        <v>117.4</v>
      </c>
      <c r="R62" s="357">
        <v>121.9</v>
      </c>
      <c r="S62" s="357">
        <v>117.4</v>
      </c>
      <c r="T62" s="357">
        <v>119.2</v>
      </c>
      <c r="U62" s="357">
        <v>114.9</v>
      </c>
      <c r="V62" s="358">
        <f>+U62</f>
        <v>114.9</v>
      </c>
      <c r="W62" s="357">
        <v>122</v>
      </c>
      <c r="X62" s="357">
        <v>117.2</v>
      </c>
      <c r="Y62" s="357">
        <v>110.6</v>
      </c>
      <c r="Z62" s="357">
        <v>109.9</v>
      </c>
      <c r="AA62" s="358">
        <f>+Z62</f>
        <v>109.9</v>
      </c>
    </row>
    <row r="63" spans="1:27" s="20" customFormat="1" ht="17.25" customHeight="1">
      <c r="A63" s="7"/>
      <c r="B63" s="183" t="s">
        <v>212</v>
      </c>
      <c r="C63" s="355"/>
      <c r="D63" s="355"/>
      <c r="E63" s="355"/>
      <c r="F63" s="355"/>
      <c r="G63" s="356"/>
      <c r="H63" s="357">
        <v>44</v>
      </c>
      <c r="I63" s="357">
        <v>45.3</v>
      </c>
      <c r="J63" s="357">
        <v>44.9</v>
      </c>
      <c r="K63" s="357">
        <v>42.7</v>
      </c>
      <c r="L63" s="358">
        <f>+K63</f>
        <v>42.7</v>
      </c>
      <c r="M63" s="357">
        <v>44.2</v>
      </c>
      <c r="N63" s="357">
        <v>45.5</v>
      </c>
      <c r="O63" s="357">
        <v>47.9</v>
      </c>
      <c r="P63" s="357">
        <v>45.1</v>
      </c>
      <c r="Q63" s="358">
        <f>+P63</f>
        <v>45.1</v>
      </c>
      <c r="R63" s="357">
        <v>48.1</v>
      </c>
      <c r="S63" s="357">
        <v>46.2</v>
      </c>
      <c r="T63" s="357">
        <v>47</v>
      </c>
      <c r="U63" s="357">
        <v>46.4</v>
      </c>
      <c r="V63" s="358">
        <f>+U63</f>
        <v>46.4</v>
      </c>
      <c r="W63" s="357">
        <v>47.6</v>
      </c>
      <c r="X63" s="357">
        <v>47.5</v>
      </c>
      <c r="Y63" s="357">
        <v>43.8</v>
      </c>
      <c r="Z63" s="357">
        <v>43</v>
      </c>
      <c r="AA63" s="358">
        <f>+Z63</f>
        <v>43</v>
      </c>
    </row>
    <row r="64" spans="1:27" s="20" customFormat="1" ht="17.25" customHeight="1">
      <c r="A64" s="7"/>
      <c r="B64" s="183" t="s">
        <v>213</v>
      </c>
      <c r="C64" s="360"/>
      <c r="D64" s="360"/>
      <c r="E64" s="360"/>
      <c r="F64" s="360"/>
      <c r="G64" s="361"/>
      <c r="H64" s="130">
        <v>79.5</v>
      </c>
      <c r="I64" s="130">
        <v>70.3</v>
      </c>
      <c r="J64" s="130">
        <v>69.8</v>
      </c>
      <c r="K64" s="130">
        <v>60.4</v>
      </c>
      <c r="L64" s="62">
        <f>+K64</f>
        <v>60.4</v>
      </c>
      <c r="M64" s="130">
        <v>58.7</v>
      </c>
      <c r="N64" s="130">
        <v>61.3</v>
      </c>
      <c r="O64" s="130">
        <v>66.1</v>
      </c>
      <c r="P64" s="130">
        <v>67.7</v>
      </c>
      <c r="Q64" s="62">
        <f>+P64</f>
        <v>67.7</v>
      </c>
      <c r="R64" s="130">
        <v>70</v>
      </c>
      <c r="S64" s="130">
        <v>68.5</v>
      </c>
      <c r="T64" s="130">
        <v>67.1</v>
      </c>
      <c r="U64" s="130">
        <v>68.1</v>
      </c>
      <c r="V64" s="62">
        <f>+U64</f>
        <v>68.1</v>
      </c>
      <c r="W64" s="130">
        <v>66.9</v>
      </c>
      <c r="X64" s="130">
        <v>65.5</v>
      </c>
      <c r="Y64" s="130">
        <v>66.1</v>
      </c>
      <c r="Z64" s="130">
        <v>63.3</v>
      </c>
      <c r="AA64" s="62">
        <f>+Z64</f>
        <v>63.3</v>
      </c>
    </row>
    <row r="65" spans="1:27" s="20" customFormat="1" ht="17.25" customHeight="1">
      <c r="A65" s="7"/>
      <c r="B65" s="32" t="s">
        <v>214</v>
      </c>
      <c r="C65" s="362"/>
      <c r="D65" s="362"/>
      <c r="E65" s="362"/>
      <c r="F65" s="362"/>
      <c r="G65" s="352"/>
      <c r="H65" s="363">
        <v>39.7</v>
      </c>
      <c r="I65" s="363">
        <v>33.7</v>
      </c>
      <c r="J65" s="363">
        <v>23.4</v>
      </c>
      <c r="K65" s="363">
        <v>18.8</v>
      </c>
      <c r="L65" s="58">
        <f>+K65</f>
        <v>18.8</v>
      </c>
      <c r="M65" s="363">
        <v>7.2</v>
      </c>
      <c r="N65" s="363">
        <v>7.7</v>
      </c>
      <c r="O65" s="363">
        <v>4.5</v>
      </c>
      <c r="P65" s="363">
        <v>0.3</v>
      </c>
      <c r="Q65" s="58">
        <f>+P65</f>
        <v>0.3</v>
      </c>
      <c r="R65" s="363">
        <v>0.4</v>
      </c>
      <c r="S65" s="363">
        <v>0.3</v>
      </c>
      <c r="T65" s="363">
        <v>0.3</v>
      </c>
      <c r="U65" s="363">
        <v>0.4</v>
      </c>
      <c r="V65" s="58">
        <f>+U65</f>
        <v>0.4</v>
      </c>
      <c r="W65" s="363">
        <v>0.4</v>
      </c>
      <c r="X65" s="363">
        <v>0.8</v>
      </c>
      <c r="Y65" s="363">
        <v>0.9</v>
      </c>
      <c r="Z65" s="363">
        <v>0.9</v>
      </c>
      <c r="AA65" s="58">
        <f>+Z65</f>
        <v>0.9</v>
      </c>
    </row>
    <row r="66" spans="1:27" s="20" customFormat="1" ht="17.25" customHeight="1">
      <c r="A66" s="7"/>
      <c r="B66" s="29" t="s">
        <v>7</v>
      </c>
      <c r="C66" s="364"/>
      <c r="D66" s="364"/>
      <c r="E66" s="364"/>
      <c r="F66" s="364"/>
      <c r="G66" s="365"/>
      <c r="H66" s="366">
        <v>28.9</v>
      </c>
      <c r="I66" s="84">
        <v>32.7</v>
      </c>
      <c r="J66" s="84">
        <v>32.8</v>
      </c>
      <c r="K66" s="84">
        <v>19</v>
      </c>
      <c r="L66" s="367">
        <f>+K66</f>
        <v>19</v>
      </c>
      <c r="M66" s="84">
        <v>19.5</v>
      </c>
      <c r="N66" s="84">
        <v>17.8</v>
      </c>
      <c r="O66" s="84">
        <v>13.6</v>
      </c>
      <c r="P66" s="84">
        <v>0</v>
      </c>
      <c r="Q66" s="367">
        <f>+P66</f>
        <v>0</v>
      </c>
      <c r="R66" s="84">
        <v>0</v>
      </c>
      <c r="S66" s="84">
        <v>0</v>
      </c>
      <c r="T66" s="84">
        <v>0</v>
      </c>
      <c r="U66" s="84">
        <v>0</v>
      </c>
      <c r="V66" s="367">
        <f>+U66</f>
        <v>0</v>
      </c>
      <c r="W66" s="84">
        <v>0</v>
      </c>
      <c r="X66" s="84">
        <v>0</v>
      </c>
      <c r="Y66" s="84">
        <v>0</v>
      </c>
      <c r="Z66" s="84">
        <v>0</v>
      </c>
      <c r="AA66" s="367">
        <f>+Z66</f>
        <v>0</v>
      </c>
    </row>
    <row r="67" spans="1:27" s="20" customFormat="1" ht="17.25" customHeight="1" thickBot="1">
      <c r="A67" s="7"/>
      <c r="B67" s="30" t="s">
        <v>29</v>
      </c>
      <c r="C67" s="368"/>
      <c r="D67" s="368"/>
      <c r="E67" s="368"/>
      <c r="F67" s="368"/>
      <c r="G67" s="368"/>
      <c r="H67" s="369">
        <f>IF((H53+H61+H65+H66)='Assets under Management'!H8,(H53+H61+H65+H66),"Error")</f>
        <v>517.4</v>
      </c>
      <c r="I67" s="369">
        <f>IF((I53+I61+I65+I66)='Assets under Management'!I8,(I53+I61+I65+I66),"Error")</f>
        <v>513.6</v>
      </c>
      <c r="J67" s="369">
        <f>IF((J53+J61+J65+J66)='Assets under Management'!J8,(J53+J61+J65+J66),"Error")</f>
        <v>491.2</v>
      </c>
      <c r="K67" s="369">
        <f>IF((K53+K61+K65+K66)='Assets under Management'!K8,(K53+K61+K65+K66),"Error")</f>
        <v>411.5</v>
      </c>
      <c r="L67" s="369">
        <f>IF((L53+L61+L65+L66)='Assets under Management'!L8,(L53+L61+L65+L66),"Error")</f>
        <v>411.5</v>
      </c>
      <c r="M67" s="369">
        <f>IF((M53+M61+M65+M66)='Assets under Management'!M8,(M53+M61+M65+M66),"Error")</f>
        <v>405.7</v>
      </c>
      <c r="N67" s="369">
        <f>IF((N53+N61+N65+N66)='Assets under Management'!N8,(N53+N61+N65+N66),"Error")</f>
        <v>410.7</v>
      </c>
      <c r="O67" s="369">
        <f>IF((O53+O61+O65+O66)='Assets under Management'!O8,(O53+O61+O65+O66),"Error")</f>
        <v>427.9</v>
      </c>
      <c r="P67" s="369">
        <f>IF((P53+P61+P65+P66)='Assets under Management'!P8,(P53+P61+P65+P66),"Error")</f>
        <v>416</v>
      </c>
      <c r="Q67" s="369">
        <f>IF((Q53+Q61+Q65+Q66)='Assets under Management'!Q8,(Q53+Q61+Q65+Q66),"Error")</f>
        <v>416</v>
      </c>
      <c r="R67" s="369">
        <f>IF((R53+R61+R65+R66)='Assets under Management'!R8,(R53+R61+R65+R66),"Error")</f>
        <v>434.2</v>
      </c>
      <c r="S67" s="369">
        <f>IF((S53+S61+S65+S66)='Assets under Management'!S8,(S53+S61+S65+S66),"Error")</f>
        <v>423</v>
      </c>
      <c r="T67" s="369">
        <f>IF((T53+T61+T65+T66)='Assets under Management'!T8,(T53+T61+T65+T66),"Error")</f>
        <v>423.1</v>
      </c>
      <c r="U67" s="369">
        <f>IF((U53+U61+U65+U66)='Assets under Management'!U8,(U53+U61+U65+U66),"Error")</f>
        <v>425.8</v>
      </c>
      <c r="V67" s="369">
        <f>IF((V53+V61+V65+V66)='Assets under Management'!V8,(V53+V61+V65+V66),"Error")</f>
        <v>425.8</v>
      </c>
      <c r="W67" s="369">
        <f>IF((W53+W61+W65+W66)='Assets under Management'!W8,(W53+W61+W65+W66),"Error")</f>
        <v>435.8</v>
      </c>
      <c r="X67" s="369">
        <f>IF((X53+X61+X65+X66)='Assets under Management'!X8,(X53+X61+X65+X66),"Error")</f>
        <v>421.7</v>
      </c>
      <c r="Y67" s="369">
        <f>IF((Y53+Y61+Y65+Y66)='Assets under Management'!Y8,(Y53+Y61+Y65+Y66),"Error")</f>
        <v>409.7</v>
      </c>
      <c r="Z67" s="369">
        <f>IF((Z53+Z61+Z65+Z66)='Assets under Management'!Z8,(Z53+Z61+Z65+Z66),"Error")</f>
        <v>408</v>
      </c>
      <c r="AA67" s="369">
        <f>IF((AA53+AA61+AA65+AA66)='Assets under Management'!AA8,(AA53+AA61+AA65+AA66),"Error")</f>
        <v>408</v>
      </c>
    </row>
    <row r="68" spans="1:27" ht="12" customHeight="1">
      <c r="A68" s="7"/>
      <c r="B68" s="330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1:27" ht="17.25" customHeight="1">
      <c r="A69" s="7"/>
      <c r="B69" s="88" t="s">
        <v>175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</row>
    <row r="70" spans="1:27" s="20" customFormat="1" ht="17.25" customHeight="1" thickBot="1">
      <c r="A70" s="7"/>
      <c r="B70" s="311" t="s">
        <v>176</v>
      </c>
      <c r="C70" s="312">
        <v>611.8</v>
      </c>
      <c r="D70" s="312">
        <v>644.6</v>
      </c>
      <c r="E70" s="312">
        <v>646.7</v>
      </c>
      <c r="F70" s="312">
        <v>618.7</v>
      </c>
      <c r="G70" s="312">
        <v>630.4</v>
      </c>
      <c r="H70" s="312">
        <v>562.7</v>
      </c>
      <c r="I70" s="312">
        <v>529.3</v>
      </c>
      <c r="J70" s="312">
        <v>513.5</v>
      </c>
      <c r="K70" s="312">
        <v>454</v>
      </c>
      <c r="L70" s="312">
        <v>514.9</v>
      </c>
      <c r="M70" s="312">
        <v>413.7</v>
      </c>
      <c r="N70" s="312">
        <v>410.3</v>
      </c>
      <c r="O70" s="312">
        <v>424.3</v>
      </c>
      <c r="P70" s="312">
        <v>425.3</v>
      </c>
      <c r="Q70" s="312">
        <v>418.4</v>
      </c>
      <c r="R70" s="312">
        <v>422.9</v>
      </c>
      <c r="S70" s="312">
        <v>437.1</v>
      </c>
      <c r="T70" s="312">
        <v>421.9</v>
      </c>
      <c r="U70" s="312">
        <v>429.3</v>
      </c>
      <c r="V70" s="312">
        <v>427.8</v>
      </c>
      <c r="W70" s="312">
        <v>432.1</v>
      </c>
      <c r="X70" s="312">
        <v>428.5</v>
      </c>
      <c r="Y70" s="312">
        <v>408.4</v>
      </c>
      <c r="Z70" s="312">
        <v>408.1</v>
      </c>
      <c r="AA70" s="312">
        <v>419.3</v>
      </c>
    </row>
    <row r="71" spans="1:27" ht="12" customHeight="1">
      <c r="A71" s="7"/>
      <c r="B71" s="330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1:27" ht="13.5" customHeight="1">
      <c r="A72" s="7"/>
      <c r="B72" s="88" t="s">
        <v>215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</row>
    <row r="73" spans="1:27" ht="17.25" customHeight="1">
      <c r="A73" s="7"/>
      <c r="B73" s="370" t="s">
        <v>80</v>
      </c>
      <c r="C73" s="371">
        <v>200.9</v>
      </c>
      <c r="D73" s="371">
        <v>221.4</v>
      </c>
      <c r="E73" s="371">
        <v>191.9</v>
      </c>
      <c r="F73" s="371">
        <v>161.2</v>
      </c>
      <c r="G73" s="372">
        <f>+F73</f>
        <v>161.2</v>
      </c>
      <c r="H73" s="373">
        <v>125</v>
      </c>
      <c r="I73" s="371">
        <v>138.9</v>
      </c>
      <c r="J73" s="371">
        <v>140.4</v>
      </c>
      <c r="K73" s="371">
        <v>105.9</v>
      </c>
      <c r="L73" s="372">
        <f>+K73</f>
        <v>105.9</v>
      </c>
      <c r="M73" s="373">
        <v>111.1</v>
      </c>
      <c r="N73" s="373">
        <v>107.1</v>
      </c>
      <c r="O73" s="373">
        <v>102.7</v>
      </c>
      <c r="P73" s="373">
        <v>94.8</v>
      </c>
      <c r="Q73" s="372">
        <f>+P73</f>
        <v>94.8</v>
      </c>
      <c r="R73" s="373">
        <v>100.1</v>
      </c>
      <c r="S73" s="373">
        <v>101.3</v>
      </c>
      <c r="T73" s="373">
        <v>96.4</v>
      </c>
      <c r="U73" s="374">
        <v>100.8</v>
      </c>
      <c r="V73" s="375">
        <f>+U73</f>
        <v>100.8</v>
      </c>
      <c r="W73" s="374">
        <v>102.4</v>
      </c>
      <c r="X73" s="374">
        <v>97.4</v>
      </c>
      <c r="Y73" s="374">
        <v>95.9</v>
      </c>
      <c r="Z73" s="374">
        <v>93.5</v>
      </c>
      <c r="AA73" s="418">
        <f>+Z73</f>
        <v>93.5</v>
      </c>
    </row>
    <row r="74" spans="1:27" ht="17.25" customHeight="1">
      <c r="A74" s="7"/>
      <c r="B74" s="376" t="s">
        <v>81</v>
      </c>
      <c r="C74" s="377">
        <v>74.4</v>
      </c>
      <c r="D74" s="373">
        <v>77</v>
      </c>
      <c r="E74" s="377">
        <v>74.1</v>
      </c>
      <c r="F74" s="377">
        <v>74.9</v>
      </c>
      <c r="G74" s="378">
        <f>+F74</f>
        <v>74.9</v>
      </c>
      <c r="H74" s="377">
        <v>68.7</v>
      </c>
      <c r="I74" s="373">
        <v>70</v>
      </c>
      <c r="J74" s="377">
        <v>64.2</v>
      </c>
      <c r="K74" s="377">
        <v>56.5</v>
      </c>
      <c r="L74" s="378">
        <f>+K74</f>
        <v>56.5</v>
      </c>
      <c r="M74" s="377">
        <v>53.8</v>
      </c>
      <c r="N74" s="377">
        <v>54.5</v>
      </c>
      <c r="O74" s="377">
        <v>60.9</v>
      </c>
      <c r="P74" s="377">
        <v>61.5</v>
      </c>
      <c r="Q74" s="378">
        <f>+P74</f>
        <v>61.5</v>
      </c>
      <c r="R74" s="377">
        <v>62.9</v>
      </c>
      <c r="S74" s="377">
        <v>59.1</v>
      </c>
      <c r="T74" s="377">
        <v>62.3</v>
      </c>
      <c r="U74" s="379">
        <v>58.7</v>
      </c>
      <c r="V74" s="380">
        <f>+U74</f>
        <v>58.7</v>
      </c>
      <c r="W74" s="379">
        <v>63.2</v>
      </c>
      <c r="X74" s="379">
        <v>59.9</v>
      </c>
      <c r="Y74" s="374">
        <v>56</v>
      </c>
      <c r="Z74" s="374">
        <v>59</v>
      </c>
      <c r="AA74" s="382">
        <f>+Z74</f>
        <v>59</v>
      </c>
    </row>
    <row r="75" spans="1:27" ht="17.25" customHeight="1">
      <c r="A75" s="7"/>
      <c r="B75" s="376" t="s">
        <v>82</v>
      </c>
      <c r="C75" s="373">
        <v>304</v>
      </c>
      <c r="D75" s="373">
        <v>312.2</v>
      </c>
      <c r="E75" s="373">
        <v>305.8</v>
      </c>
      <c r="F75" s="373">
        <v>297.9</v>
      </c>
      <c r="G75" s="381">
        <f>+F75</f>
        <v>297.9</v>
      </c>
      <c r="H75" s="373">
        <v>267.9</v>
      </c>
      <c r="I75" s="373">
        <v>260.1</v>
      </c>
      <c r="J75" s="373">
        <v>252.6</v>
      </c>
      <c r="K75" s="373">
        <v>224.6</v>
      </c>
      <c r="L75" s="381">
        <f>+K75</f>
        <v>224.6</v>
      </c>
      <c r="M75" s="373">
        <v>218.3</v>
      </c>
      <c r="N75" s="373">
        <v>224</v>
      </c>
      <c r="O75" s="373">
        <v>239</v>
      </c>
      <c r="P75" s="373">
        <v>240.3</v>
      </c>
      <c r="Q75" s="381">
        <f>+P75</f>
        <v>240.3</v>
      </c>
      <c r="R75" s="373">
        <v>249.9</v>
      </c>
      <c r="S75" s="373">
        <v>243.3</v>
      </c>
      <c r="T75" s="373">
        <v>243.7</v>
      </c>
      <c r="U75" s="374">
        <v>245.1</v>
      </c>
      <c r="V75" s="382">
        <f>+U75</f>
        <v>245.1</v>
      </c>
      <c r="W75" s="374">
        <v>247.5</v>
      </c>
      <c r="X75" s="374">
        <v>242.2</v>
      </c>
      <c r="Y75" s="374">
        <v>236.4</v>
      </c>
      <c r="Z75" s="374">
        <v>233.5</v>
      </c>
      <c r="AA75" s="382">
        <f>+Z75</f>
        <v>233.5</v>
      </c>
    </row>
    <row r="76" spans="1:27" ht="17.25" customHeight="1">
      <c r="A76" s="7"/>
      <c r="B76" s="383" t="s">
        <v>7</v>
      </c>
      <c r="C76" s="384">
        <v>46.2</v>
      </c>
      <c r="D76" s="384">
        <v>49.5</v>
      </c>
      <c r="E76" s="384">
        <v>51.9</v>
      </c>
      <c r="F76" s="384">
        <v>65.4</v>
      </c>
      <c r="G76" s="385">
        <f>+F76</f>
        <v>65.4</v>
      </c>
      <c r="H76" s="384">
        <v>55.8</v>
      </c>
      <c r="I76" s="384">
        <v>44.6</v>
      </c>
      <c r="J76" s="384">
        <v>34</v>
      </c>
      <c r="K76" s="384">
        <v>24.5</v>
      </c>
      <c r="L76" s="385">
        <f>+K76</f>
        <v>24.5</v>
      </c>
      <c r="M76" s="384">
        <v>22.5</v>
      </c>
      <c r="N76" s="384">
        <v>25.1</v>
      </c>
      <c r="O76" s="384">
        <v>25.3</v>
      </c>
      <c r="P76" s="384">
        <v>19.4</v>
      </c>
      <c r="Q76" s="385">
        <f>+P76</f>
        <v>19.4</v>
      </c>
      <c r="R76" s="384">
        <v>21.3</v>
      </c>
      <c r="S76" s="384">
        <v>19.3</v>
      </c>
      <c r="T76" s="384">
        <v>20.7</v>
      </c>
      <c r="U76" s="386">
        <v>21.2</v>
      </c>
      <c r="V76" s="387">
        <f>+U76</f>
        <v>21.2</v>
      </c>
      <c r="W76" s="386">
        <v>22.7</v>
      </c>
      <c r="X76" s="386">
        <v>22.2</v>
      </c>
      <c r="Y76" s="386">
        <v>21.4</v>
      </c>
      <c r="Z76" s="386">
        <v>22</v>
      </c>
      <c r="AA76" s="387">
        <f>+Z76</f>
        <v>22</v>
      </c>
    </row>
    <row r="77" spans="1:27" ht="17.25" customHeight="1" thickBot="1">
      <c r="A77" s="7"/>
      <c r="B77" s="23" t="s">
        <v>83</v>
      </c>
      <c r="C77" s="388">
        <f>IF((SUM(C73:C76))='Assets under Management'!C8,SUM(C73:C76),"Error")</f>
        <v>625.5</v>
      </c>
      <c r="D77" s="388">
        <f>IF((SUM(D73:D76))='Assets under Management'!D8,SUM(D73:D76),"Error")</f>
        <v>660.1</v>
      </c>
      <c r="E77" s="388">
        <f>IF((SUM(E73:E76))='Assets under Management'!E8,SUM(E73:E76),"Error")</f>
        <v>623.7</v>
      </c>
      <c r="F77" s="388">
        <f>IF((SUM(F73:F76))='Assets under Management'!F8,SUM(F73:F76),"Error")</f>
        <v>599.4</v>
      </c>
      <c r="G77" s="388">
        <f>IF((SUM(G73:G76))='Assets under Management'!G8,SUM(G73:G76),"Error")</f>
        <v>599.4</v>
      </c>
      <c r="H77" s="388">
        <f>IF((SUM(H73:H76))='Assets under Management'!H8,SUM(H73:H76),"Error")</f>
        <v>517.4</v>
      </c>
      <c r="I77" s="388">
        <f>IF((SUM(I73:I76))='Assets under Management'!I8,SUM(I73:I76),"Error")</f>
        <v>513.6</v>
      </c>
      <c r="J77" s="388">
        <f>IF((SUM(J73:J76))='Assets under Management'!J8,SUM(J73:J76),"Error")</f>
        <v>491.2</v>
      </c>
      <c r="K77" s="388">
        <f>IF((SUM(K73:K76))='Assets under Management'!K8,SUM(K73:K76),"Error")</f>
        <v>411.5</v>
      </c>
      <c r="L77" s="388">
        <f>IF((SUM(L73:L76))='Assets under Management'!L8,SUM(L73:L76),"Error")</f>
        <v>411.5</v>
      </c>
      <c r="M77" s="388">
        <f>IF((SUM(M73:M76))='Assets under Management'!M8,SUM(M73:M76),"Error")</f>
        <v>405.7</v>
      </c>
      <c r="N77" s="388">
        <f>IF((SUM(N73:N76))='Assets under Management'!N8,SUM(N73:N76),"Error")</f>
        <v>410.7</v>
      </c>
      <c r="O77" s="388">
        <f>IF((SUM(O73:O76))='Assets under Management'!O8,SUM(O73:O76),"Error")</f>
        <v>427.9</v>
      </c>
      <c r="P77" s="389">
        <f>IF((SUM(P73:P76))='Assets under Management'!P8,SUM(P73:P76),"Error")</f>
        <v>416</v>
      </c>
      <c r="Q77" s="389">
        <f>IF((SUM(Q73:Q76))='Assets under Management'!Q8,SUM(Q73:Q76),"Error")</f>
        <v>416</v>
      </c>
      <c r="R77" s="388">
        <f>IF((SUM(R73:R76))='Assets under Management'!R8,SUM(R73:R76),"Error")</f>
        <v>434.2</v>
      </c>
      <c r="S77" s="389">
        <f>IF((SUM(S73:S76))='Assets under Management'!S8,SUM(S73:S76),"Error")</f>
        <v>423</v>
      </c>
      <c r="T77" s="389">
        <f>IF((SUM(T73:T76))='Assets under Management'!T8,SUM(T73:T76),"Error")</f>
        <v>423.1</v>
      </c>
      <c r="U77" s="390">
        <f>IF((SUM(U73:U76))='Assets under Management'!U8,SUM(U73:U76),"Error")</f>
        <v>425.8</v>
      </c>
      <c r="V77" s="390">
        <f>IF((SUM(V73:V76))='Assets under Management'!V8,SUM(V73:V76),"Error")</f>
        <v>425.8</v>
      </c>
      <c r="W77" s="388">
        <f>IF((SUM(W73:W76))='Assets under Management'!W8,SUM(W73:W76),"Error")</f>
        <v>435.8</v>
      </c>
      <c r="X77" s="388">
        <f>IF((SUM(X73:X76))='Assets under Management'!X8,SUM(X73:X76),"Error")</f>
        <v>421.7</v>
      </c>
      <c r="Y77" s="388">
        <f>IF((SUM(Y73:Y76))='Assets under Management'!Y8,SUM(Y73:Y76),"Error")</f>
        <v>409.7</v>
      </c>
      <c r="Z77" s="389">
        <f>IF((SUM(Z73:Z76))='Assets under Management'!Z8,SUM(Z73:Z76),"Error")</f>
        <v>408</v>
      </c>
      <c r="AA77" s="390">
        <f>IF((SUM(AA73:AA76))='Assets under Management'!AA8,SUM(AA73:AA76),"Error")</f>
        <v>408</v>
      </c>
    </row>
    <row r="78" spans="1:27" ht="12" customHeight="1">
      <c r="A78" s="7"/>
      <c r="B78" s="1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2.75">
      <c r="A79" s="7"/>
      <c r="B79" s="13" t="s">
        <v>65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7.25" customHeight="1">
      <c r="A80" s="7"/>
      <c r="B80" s="32" t="s">
        <v>66</v>
      </c>
      <c r="C80" s="391">
        <f>+'Assets under Management'!C18</f>
        <v>30.8</v>
      </c>
      <c r="D80" s="391">
        <f>+'Assets under Management'!D18</f>
        <v>17.6</v>
      </c>
      <c r="E80" s="391">
        <f>+'Assets under Management'!E18</f>
        <v>-23.3</v>
      </c>
      <c r="F80" s="391">
        <f>+'Assets under Management'!F18</f>
        <v>-28.7</v>
      </c>
      <c r="G80" s="391">
        <f>+'Assets under Management'!G18</f>
        <v>-3.6</v>
      </c>
      <c r="H80" s="391">
        <f>+'Assets under Management'!H18</f>
        <v>-21.2</v>
      </c>
      <c r="I80" s="391">
        <f>+'Assets under Management'!I18</f>
        <v>-6.6</v>
      </c>
      <c r="J80" s="391">
        <f>+'Assets under Management'!J18</f>
        <v>-14.4</v>
      </c>
      <c r="K80" s="391">
        <f>+'Assets under Management'!K18</f>
        <v>-21.1</v>
      </c>
      <c r="L80" s="391">
        <f>+'Assets under Management'!L18</f>
        <v>-63.3</v>
      </c>
      <c r="M80" s="391">
        <f>+'Assets under Management'!M18</f>
        <v>-3.5</v>
      </c>
      <c r="N80" s="391">
        <f>+'Assets under Management'!N18</f>
        <v>-4.1</v>
      </c>
      <c r="O80" s="391">
        <f>+'Assets under Management'!O18</f>
        <v>3.9</v>
      </c>
      <c r="P80" s="391">
        <f>+'Assets under Management'!P18</f>
        <v>4.1</v>
      </c>
      <c r="Q80" s="391">
        <f>+'Assets under Management'!Q18</f>
        <v>0.4</v>
      </c>
      <c r="R80" s="391">
        <f>+'Assets under Management'!R18</f>
        <v>11.2</v>
      </c>
      <c r="S80" s="391">
        <f>+'Assets under Management'!S18</f>
        <v>1.3</v>
      </c>
      <c r="T80" s="391">
        <v>3.6</v>
      </c>
      <c r="U80" s="391">
        <f>+'Assets under Management'!U18</f>
        <v>4.5</v>
      </c>
      <c r="V80" s="391">
        <f>+'Assets under Management'!V18</f>
        <v>20.6</v>
      </c>
      <c r="W80" s="391">
        <f>+'Assets under Management'!W18</f>
        <v>4.5</v>
      </c>
      <c r="X80" s="391">
        <f>+'Assets under Management'!X18</f>
        <v>4</v>
      </c>
      <c r="Y80" s="391">
        <f>+'Assets under Management'!Y18</f>
        <v>0.2</v>
      </c>
      <c r="Z80" s="391">
        <f>+'Assets under Management'!Z18</f>
        <v>-9.6</v>
      </c>
      <c r="AA80" s="391">
        <f>+'Assets under Management'!AA18</f>
        <v>-0.9</v>
      </c>
    </row>
    <row r="81" spans="1:27" ht="17.25" customHeight="1">
      <c r="A81" s="7"/>
      <c r="B81" s="32" t="s">
        <v>126</v>
      </c>
      <c r="C81" s="392">
        <f aca="true" t="shared" si="19" ref="C81:S81">SUM(C82:C84)</f>
        <v>7.2</v>
      </c>
      <c r="D81" s="392">
        <f t="shared" si="19"/>
        <v>17</v>
      </c>
      <c r="E81" s="392">
        <f t="shared" si="19"/>
        <v>-13.1</v>
      </c>
      <c r="F81" s="392">
        <f t="shared" si="19"/>
        <v>4.4</v>
      </c>
      <c r="G81" s="391">
        <f t="shared" si="19"/>
        <v>15.5</v>
      </c>
      <c r="H81" s="392">
        <f t="shared" si="19"/>
        <v>-60.8</v>
      </c>
      <c r="I81" s="392">
        <f t="shared" si="19"/>
        <v>2.8</v>
      </c>
      <c r="J81" s="392">
        <f t="shared" si="19"/>
        <v>-8</v>
      </c>
      <c r="K81" s="392">
        <f t="shared" si="19"/>
        <v>-58.6</v>
      </c>
      <c r="L81" s="392">
        <f t="shared" si="19"/>
        <v>-124.6</v>
      </c>
      <c r="M81" s="392">
        <f t="shared" si="19"/>
        <v>-2.3</v>
      </c>
      <c r="N81" s="392">
        <f t="shared" si="19"/>
        <v>9.1</v>
      </c>
      <c r="O81" s="392">
        <f t="shared" si="19"/>
        <v>13.3</v>
      </c>
      <c r="P81" s="392">
        <f t="shared" si="19"/>
        <v>-16</v>
      </c>
      <c r="Q81" s="392">
        <f t="shared" si="19"/>
        <v>4.1</v>
      </c>
      <c r="R81" s="392">
        <f t="shared" si="19"/>
        <v>7</v>
      </c>
      <c r="S81" s="392">
        <f t="shared" si="19"/>
        <v>-12.5</v>
      </c>
      <c r="T81" s="392">
        <v>-3.5</v>
      </c>
      <c r="U81" s="392">
        <f aca="true" t="shared" si="20" ref="U81:AA81">SUM(U82:U84)</f>
        <v>-1.8</v>
      </c>
      <c r="V81" s="392">
        <f t="shared" si="20"/>
        <v>-10.8</v>
      </c>
      <c r="W81" s="392">
        <f t="shared" si="20"/>
        <v>5.5</v>
      </c>
      <c r="X81" s="392">
        <f t="shared" si="20"/>
        <v>-18.1</v>
      </c>
      <c r="Y81" s="392">
        <f t="shared" si="20"/>
        <v>-12.2</v>
      </c>
      <c r="Z81" s="392">
        <f t="shared" si="20"/>
        <v>7.9</v>
      </c>
      <c r="AA81" s="392">
        <f t="shared" si="20"/>
        <v>-16.9</v>
      </c>
    </row>
    <row r="82" spans="1:27" ht="17.25" customHeight="1">
      <c r="A82" s="7"/>
      <c r="B82" s="183" t="s">
        <v>127</v>
      </c>
      <c r="C82" s="393">
        <v>7</v>
      </c>
      <c r="D82" s="393">
        <v>13.6</v>
      </c>
      <c r="E82" s="393">
        <v>-5.7</v>
      </c>
      <c r="F82" s="393">
        <v>-3.5</v>
      </c>
      <c r="G82" s="394">
        <f>SUM(C82:F82)</f>
        <v>11.4</v>
      </c>
      <c r="H82" s="393">
        <v>-31.3</v>
      </c>
      <c r="I82" s="393">
        <v>4.3</v>
      </c>
      <c r="J82" s="393">
        <v>-18.4</v>
      </c>
      <c r="K82" s="393">
        <v>-33.2</v>
      </c>
      <c r="L82" s="394">
        <f>SUM(H82:K82)</f>
        <v>-78.6</v>
      </c>
      <c r="M82" s="393">
        <v>-12.9</v>
      </c>
      <c r="N82" s="393">
        <v>18.3</v>
      </c>
      <c r="O82" s="393">
        <v>18.6</v>
      </c>
      <c r="P82" s="393">
        <v>6.7</v>
      </c>
      <c r="Q82" s="394">
        <f>SUM(M82:P82)</f>
        <v>30.7</v>
      </c>
      <c r="R82" s="393">
        <v>5.6</v>
      </c>
      <c r="S82" s="393">
        <v>-8.5</v>
      </c>
      <c r="T82" s="393">
        <v>8.3</v>
      </c>
      <c r="U82" s="395">
        <v>3.5</v>
      </c>
      <c r="V82" s="394">
        <f>SUM(R82:U82)</f>
        <v>8.9</v>
      </c>
      <c r="W82" s="395">
        <v>6.3</v>
      </c>
      <c r="X82" s="395">
        <v>-4.7</v>
      </c>
      <c r="Y82" s="395">
        <v>-14.1</v>
      </c>
      <c r="Z82" s="395">
        <v>4</v>
      </c>
      <c r="AA82" s="394">
        <f>SUM(W82:Z82)</f>
        <v>-8.5</v>
      </c>
    </row>
    <row r="83" spans="1:27" ht="17.25" customHeight="1">
      <c r="A83" s="7"/>
      <c r="B83" s="183" t="s">
        <v>216</v>
      </c>
      <c r="C83" s="393">
        <v>1.1</v>
      </c>
      <c r="D83" s="396">
        <v>3.4</v>
      </c>
      <c r="E83" s="396">
        <v>-6.5</v>
      </c>
      <c r="F83" s="396">
        <v>-8.3</v>
      </c>
      <c r="G83" s="394">
        <f>SUM(C83:F83)</f>
        <v>-10.3</v>
      </c>
      <c r="H83" s="393">
        <v>-29</v>
      </c>
      <c r="I83" s="396">
        <v>8.4</v>
      </c>
      <c r="J83" s="396">
        <v>12</v>
      </c>
      <c r="K83" s="396">
        <v>-14.9</v>
      </c>
      <c r="L83" s="394">
        <f>SUM(H83:K83)</f>
        <v>-23.5</v>
      </c>
      <c r="M83" s="393">
        <v>10.5</v>
      </c>
      <c r="N83" s="393">
        <v>-3.2</v>
      </c>
      <c r="O83" s="393">
        <v>-4.8</v>
      </c>
      <c r="P83" s="396">
        <v>-2.3</v>
      </c>
      <c r="Q83" s="394">
        <f>SUM(M83:P83)</f>
        <v>0.2</v>
      </c>
      <c r="R83" s="393">
        <v>-0.8</v>
      </c>
      <c r="S83" s="393">
        <v>-3</v>
      </c>
      <c r="T83" s="393">
        <v>-10.2</v>
      </c>
      <c r="U83" s="397">
        <v>-9.4</v>
      </c>
      <c r="V83" s="394">
        <f>SUM(R83:U83)</f>
        <v>-23.4</v>
      </c>
      <c r="W83" s="395">
        <v>-0.4</v>
      </c>
      <c r="X83" s="395">
        <v>-13.4</v>
      </c>
      <c r="Y83" s="395">
        <v>6.8</v>
      </c>
      <c r="Z83" s="395">
        <v>4</v>
      </c>
      <c r="AA83" s="394">
        <f>SUM(W83:Z83)</f>
        <v>-3</v>
      </c>
    </row>
    <row r="84" spans="1:27" ht="17.25" customHeight="1">
      <c r="A84" s="7"/>
      <c r="B84" s="184" t="s">
        <v>210</v>
      </c>
      <c r="C84" s="398">
        <v>-0.9</v>
      </c>
      <c r="D84" s="398">
        <v>0</v>
      </c>
      <c r="E84" s="398">
        <v>-0.9</v>
      </c>
      <c r="F84" s="398">
        <v>16.2</v>
      </c>
      <c r="G84" s="392">
        <f>SUM(C84:F84)</f>
        <v>14.4</v>
      </c>
      <c r="H84" s="398">
        <v>-0.5</v>
      </c>
      <c r="I84" s="398">
        <v>-9.9</v>
      </c>
      <c r="J84" s="398">
        <v>-1.6</v>
      </c>
      <c r="K84" s="398">
        <v>-10.5</v>
      </c>
      <c r="L84" s="392">
        <f>SUM(H84:K84)</f>
        <v>-22.5</v>
      </c>
      <c r="M84" s="398">
        <v>0.1</v>
      </c>
      <c r="N84" s="398">
        <v>-6</v>
      </c>
      <c r="O84" s="398">
        <v>-0.5</v>
      </c>
      <c r="P84" s="398">
        <v>-20.4</v>
      </c>
      <c r="Q84" s="392">
        <f>SUM(M84:P84)</f>
        <v>-26.8</v>
      </c>
      <c r="R84" s="398">
        <v>2.2</v>
      </c>
      <c r="S84" s="398">
        <v>-1</v>
      </c>
      <c r="T84" s="398">
        <v>-1.6</v>
      </c>
      <c r="U84" s="399">
        <v>4.1</v>
      </c>
      <c r="V84" s="392">
        <f>SUM(R84:U84)</f>
        <v>3.7</v>
      </c>
      <c r="W84" s="399">
        <v>-0.4</v>
      </c>
      <c r="X84" s="399">
        <v>0</v>
      </c>
      <c r="Y84" s="399">
        <v>-4.9</v>
      </c>
      <c r="Z84" s="399">
        <v>-0.1</v>
      </c>
      <c r="AA84" s="392">
        <f>SUM(W84:Z84)</f>
        <v>-5.4</v>
      </c>
    </row>
    <row r="85" spans="1:27" ht="32.25" customHeight="1" thickBot="1">
      <c r="A85" s="7"/>
      <c r="B85" s="46" t="s">
        <v>151</v>
      </c>
      <c r="C85" s="400">
        <f aca="true" t="shared" si="21" ref="C85:W85">+C80+C81</f>
        <v>38</v>
      </c>
      <c r="D85" s="400">
        <f t="shared" si="21"/>
        <v>34.6</v>
      </c>
      <c r="E85" s="400">
        <f t="shared" si="21"/>
        <v>-36.4</v>
      </c>
      <c r="F85" s="400">
        <f t="shared" si="21"/>
        <v>-24.3</v>
      </c>
      <c r="G85" s="400">
        <f t="shared" si="21"/>
        <v>11.9</v>
      </c>
      <c r="H85" s="400">
        <f t="shared" si="21"/>
        <v>-82</v>
      </c>
      <c r="I85" s="400">
        <f t="shared" si="21"/>
        <v>-3.8</v>
      </c>
      <c r="J85" s="400">
        <f t="shared" si="21"/>
        <v>-22.4</v>
      </c>
      <c r="K85" s="400">
        <f t="shared" si="21"/>
        <v>-79.7</v>
      </c>
      <c r="L85" s="400">
        <f t="shared" si="21"/>
        <v>-187.9</v>
      </c>
      <c r="M85" s="400">
        <f t="shared" si="21"/>
        <v>-5.8</v>
      </c>
      <c r="N85" s="400">
        <f t="shared" si="21"/>
        <v>5</v>
      </c>
      <c r="O85" s="400">
        <f t="shared" si="21"/>
        <v>17.2</v>
      </c>
      <c r="P85" s="400">
        <f t="shared" si="21"/>
        <v>-11.9</v>
      </c>
      <c r="Q85" s="400">
        <f t="shared" si="21"/>
        <v>4.5</v>
      </c>
      <c r="R85" s="400">
        <f t="shared" si="21"/>
        <v>18.2</v>
      </c>
      <c r="S85" s="400">
        <f t="shared" si="21"/>
        <v>-11.2</v>
      </c>
      <c r="T85" s="400">
        <f t="shared" si="21"/>
        <v>0.1</v>
      </c>
      <c r="U85" s="400">
        <f t="shared" si="21"/>
        <v>2.7</v>
      </c>
      <c r="V85" s="400">
        <f t="shared" si="21"/>
        <v>9.8</v>
      </c>
      <c r="W85" s="400">
        <f t="shared" si="21"/>
        <v>10</v>
      </c>
      <c r="X85" s="400">
        <f>+X80+X81</f>
        <v>-14.1</v>
      </c>
      <c r="Y85" s="400">
        <f>+Y80+Y81</f>
        <v>-12</v>
      </c>
      <c r="Z85" s="400">
        <f>+Z80+Z81</f>
        <v>-1.7</v>
      </c>
      <c r="AA85" s="400">
        <f>+AA80+AA81</f>
        <v>-17.8</v>
      </c>
    </row>
    <row r="86" spans="1:27" ht="12" customHeight="1">
      <c r="A86" s="7"/>
      <c r="B86" s="11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ht="17.25" customHeight="1">
      <c r="A87" s="7"/>
      <c r="B87" s="13" t="s">
        <v>94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ht="17.25" customHeight="1">
      <c r="A88" s="7"/>
      <c r="B88" s="26" t="s">
        <v>66</v>
      </c>
      <c r="C88" s="401">
        <v>21</v>
      </c>
      <c r="D88" s="401">
        <v>11.3</v>
      </c>
      <c r="E88" s="401">
        <v>-14.1</v>
      </c>
      <c r="F88" s="401">
        <v>-18.4</v>
      </c>
      <c r="G88" s="401">
        <v>-0.6</v>
      </c>
      <c r="H88" s="401">
        <v>-14.1</v>
      </c>
      <c r="I88" s="401">
        <v>-5.1</v>
      </c>
      <c r="J88" s="401">
        <v>-11.2</v>
      </c>
      <c r="K88" s="401">
        <v>-17.2</v>
      </c>
      <c r="L88" s="401">
        <v>-10.6</v>
      </c>
      <c r="M88" s="401">
        <v>-3.4</v>
      </c>
      <c r="N88" s="401">
        <v>-4</v>
      </c>
      <c r="O88" s="401">
        <v>3.8</v>
      </c>
      <c r="P88" s="401">
        <v>3.8</v>
      </c>
      <c r="Q88" s="401">
        <v>0.1</v>
      </c>
      <c r="R88" s="401">
        <v>10.8</v>
      </c>
      <c r="S88" s="401">
        <v>1.2</v>
      </c>
      <c r="T88" s="401">
        <v>3.4</v>
      </c>
      <c r="U88" s="401">
        <v>4.3</v>
      </c>
      <c r="V88" s="401">
        <v>5</v>
      </c>
      <c r="W88" s="401">
        <v>4.2</v>
      </c>
      <c r="X88" s="401">
        <v>3.7</v>
      </c>
      <c r="Y88" s="401">
        <v>0.2</v>
      </c>
      <c r="Z88" s="401">
        <v>-9.4</v>
      </c>
      <c r="AA88" s="401">
        <v>-0.2</v>
      </c>
    </row>
    <row r="89" spans="1:27" ht="17.25" customHeight="1">
      <c r="A89" s="7"/>
      <c r="B89" s="17" t="s">
        <v>126</v>
      </c>
      <c r="C89" s="357">
        <v>4.9</v>
      </c>
      <c r="D89" s="357">
        <v>10.9</v>
      </c>
      <c r="E89" s="357">
        <v>-7.9</v>
      </c>
      <c r="F89" s="357">
        <v>2.8</v>
      </c>
      <c r="G89" s="357">
        <v>2.6</v>
      </c>
      <c r="H89" s="357">
        <v>-40.6</v>
      </c>
      <c r="I89" s="357">
        <v>2.2</v>
      </c>
      <c r="J89" s="357">
        <v>-6.2</v>
      </c>
      <c r="K89" s="357">
        <v>-47.7</v>
      </c>
      <c r="L89" s="357">
        <v>-20.8</v>
      </c>
      <c r="M89" s="357">
        <v>-2.2</v>
      </c>
      <c r="N89" s="357">
        <v>9</v>
      </c>
      <c r="O89" s="357">
        <v>13</v>
      </c>
      <c r="P89" s="357">
        <v>-15</v>
      </c>
      <c r="Q89" s="357">
        <v>1</v>
      </c>
      <c r="R89" s="357">
        <v>6.7</v>
      </c>
      <c r="S89" s="357">
        <v>-11.5</v>
      </c>
      <c r="T89" s="357">
        <v>-3.3</v>
      </c>
      <c r="U89" s="357">
        <v>-1.7</v>
      </c>
      <c r="V89" s="357">
        <v>-2.6</v>
      </c>
      <c r="W89" s="357">
        <v>5.2</v>
      </c>
      <c r="X89" s="357">
        <v>-16.6</v>
      </c>
      <c r="Y89" s="357">
        <v>-11.6</v>
      </c>
      <c r="Z89" s="357">
        <v>7.7</v>
      </c>
      <c r="AA89" s="357">
        <v>-4</v>
      </c>
    </row>
    <row r="90" spans="1:27" ht="26.25" thickBot="1">
      <c r="A90" s="7"/>
      <c r="B90" s="46" t="s">
        <v>217</v>
      </c>
      <c r="C90" s="400">
        <f aca="true" t="shared" si="22" ref="C90:AA90">SUM(C88:C89)</f>
        <v>25.9</v>
      </c>
      <c r="D90" s="400">
        <f t="shared" si="22"/>
        <v>22.2</v>
      </c>
      <c r="E90" s="400">
        <f t="shared" si="22"/>
        <v>-22</v>
      </c>
      <c r="F90" s="400">
        <f t="shared" si="22"/>
        <v>-15.6</v>
      </c>
      <c r="G90" s="400">
        <f t="shared" si="22"/>
        <v>2</v>
      </c>
      <c r="H90" s="400">
        <f t="shared" si="22"/>
        <v>-54.7</v>
      </c>
      <c r="I90" s="400">
        <f t="shared" si="22"/>
        <v>-2.9</v>
      </c>
      <c r="J90" s="400">
        <f t="shared" si="22"/>
        <v>-17.4</v>
      </c>
      <c r="K90" s="400">
        <f t="shared" si="22"/>
        <v>-64.9</v>
      </c>
      <c r="L90" s="400">
        <f t="shared" si="22"/>
        <v>-31.4</v>
      </c>
      <c r="M90" s="400">
        <f t="shared" si="22"/>
        <v>-5.6</v>
      </c>
      <c r="N90" s="400">
        <f t="shared" si="22"/>
        <v>5</v>
      </c>
      <c r="O90" s="400">
        <f t="shared" si="22"/>
        <v>16.8</v>
      </c>
      <c r="P90" s="400">
        <f t="shared" si="22"/>
        <v>-11.2</v>
      </c>
      <c r="Q90" s="400">
        <f t="shared" si="22"/>
        <v>1.1</v>
      </c>
      <c r="R90" s="400">
        <f t="shared" si="22"/>
        <v>17.5</v>
      </c>
      <c r="S90" s="400">
        <f t="shared" si="22"/>
        <v>-10.3</v>
      </c>
      <c r="T90" s="400">
        <f t="shared" si="22"/>
        <v>0.1</v>
      </c>
      <c r="U90" s="400">
        <f t="shared" si="22"/>
        <v>2.6</v>
      </c>
      <c r="V90" s="400">
        <f t="shared" si="22"/>
        <v>2.4</v>
      </c>
      <c r="W90" s="400">
        <f t="shared" si="22"/>
        <v>9.4</v>
      </c>
      <c r="X90" s="400">
        <f t="shared" si="22"/>
        <v>-12.9</v>
      </c>
      <c r="Y90" s="400">
        <f t="shared" si="22"/>
        <v>-11.4</v>
      </c>
      <c r="Z90" s="400">
        <f t="shared" si="22"/>
        <v>-1.7</v>
      </c>
      <c r="AA90" s="400">
        <f t="shared" si="22"/>
        <v>-4.2</v>
      </c>
    </row>
    <row r="91" spans="1:27" ht="12" customHeight="1">
      <c r="A91" s="7"/>
      <c r="B91" s="11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ht="17.25" customHeight="1">
      <c r="A92" s="7"/>
      <c r="B92" s="13" t="s">
        <v>69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ht="17.25" customHeight="1">
      <c r="A93" s="7"/>
      <c r="B93" s="26" t="s">
        <v>66</v>
      </c>
      <c r="C93" s="402">
        <v>10.1</v>
      </c>
      <c r="D93" s="28">
        <v>11</v>
      </c>
      <c r="E93" s="401">
        <v>3.9</v>
      </c>
      <c r="F93" s="401">
        <v>-0.6</v>
      </c>
      <c r="G93" s="64">
        <f>+F93</f>
        <v>-0.6</v>
      </c>
      <c r="H93" s="401">
        <v>-8.9</v>
      </c>
      <c r="I93" s="401">
        <v>-12.1</v>
      </c>
      <c r="J93" s="92">
        <v>-11.4</v>
      </c>
      <c r="K93" s="92">
        <v>-10.6</v>
      </c>
      <c r="L93" s="64">
        <f>+K93</f>
        <v>-10.6</v>
      </c>
      <c r="M93" s="401">
        <v>-8.8</v>
      </c>
      <c r="N93" s="401">
        <v>-8.4</v>
      </c>
      <c r="O93" s="401">
        <v>-5</v>
      </c>
      <c r="P93" s="92">
        <v>0.1</v>
      </c>
      <c r="Q93" s="64">
        <f>+P93</f>
        <v>0.1</v>
      </c>
      <c r="R93" s="401">
        <v>3.7</v>
      </c>
      <c r="S93" s="401">
        <v>5</v>
      </c>
      <c r="T93" s="401">
        <v>4.7</v>
      </c>
      <c r="U93" s="92">
        <v>5</v>
      </c>
      <c r="V93" s="64">
        <f>+U93</f>
        <v>5</v>
      </c>
      <c r="W93" s="401">
        <v>3.2</v>
      </c>
      <c r="X93" s="401">
        <v>3.9</v>
      </c>
      <c r="Y93" s="401">
        <v>3.1</v>
      </c>
      <c r="Z93" s="401">
        <v>-0.2</v>
      </c>
      <c r="AA93" s="64">
        <f>+Z93</f>
        <v>-0.2</v>
      </c>
    </row>
    <row r="94" spans="1:27" ht="17.25" customHeight="1">
      <c r="A94" s="7"/>
      <c r="B94" s="403" t="s">
        <v>126</v>
      </c>
      <c r="C94" s="404">
        <v>4.3</v>
      </c>
      <c r="D94" s="404">
        <v>10.8</v>
      </c>
      <c r="E94" s="405">
        <v>4.4</v>
      </c>
      <c r="F94" s="405">
        <v>2.6</v>
      </c>
      <c r="G94" s="406">
        <v>2.6</v>
      </c>
      <c r="H94" s="405">
        <v>-8.4</v>
      </c>
      <c r="I94" s="405">
        <v>-10.1</v>
      </c>
      <c r="J94" s="405">
        <v>-9.9</v>
      </c>
      <c r="K94" s="405">
        <v>-20.8</v>
      </c>
      <c r="L94" s="406">
        <f>+K94</f>
        <v>-20.8</v>
      </c>
      <c r="M94" s="405">
        <v>-12.8</v>
      </c>
      <c r="N94" s="405">
        <v>-11.6</v>
      </c>
      <c r="O94" s="405">
        <v>-7.8</v>
      </c>
      <c r="P94" s="405">
        <v>1</v>
      </c>
      <c r="Q94" s="406">
        <f>+P94</f>
        <v>1</v>
      </c>
      <c r="R94" s="405">
        <v>3.3</v>
      </c>
      <c r="S94" s="405">
        <v>-2</v>
      </c>
      <c r="T94" s="405">
        <v>-5.8</v>
      </c>
      <c r="U94" s="405">
        <v>-2.6</v>
      </c>
      <c r="V94" s="406">
        <f>+U94</f>
        <v>-2.6</v>
      </c>
      <c r="W94" s="405">
        <v>-2.8</v>
      </c>
      <c r="X94" s="405">
        <v>-4.2</v>
      </c>
      <c r="Y94" s="405">
        <v>-6.3</v>
      </c>
      <c r="Z94" s="405">
        <v>-4</v>
      </c>
      <c r="AA94" s="406">
        <f>+Z94</f>
        <v>-4</v>
      </c>
    </row>
    <row r="95" spans="1:27" ht="47.25" customHeight="1" thickBot="1">
      <c r="A95" s="7"/>
      <c r="B95" s="46" t="s">
        <v>72</v>
      </c>
      <c r="C95" s="400">
        <f aca="true" t="shared" si="23" ref="C95:Z95">SUM(C93:C94)</f>
        <v>14.4</v>
      </c>
      <c r="D95" s="400">
        <f t="shared" si="23"/>
        <v>21.8</v>
      </c>
      <c r="E95" s="400">
        <f t="shared" si="23"/>
        <v>8.3</v>
      </c>
      <c r="F95" s="400">
        <f t="shared" si="23"/>
        <v>2</v>
      </c>
      <c r="G95" s="400">
        <f t="shared" si="23"/>
        <v>2</v>
      </c>
      <c r="H95" s="400">
        <f t="shared" si="23"/>
        <v>-17.3</v>
      </c>
      <c r="I95" s="400">
        <f t="shared" si="23"/>
        <v>-22.2</v>
      </c>
      <c r="J95" s="400">
        <f t="shared" si="23"/>
        <v>-21.3</v>
      </c>
      <c r="K95" s="400">
        <f t="shared" si="23"/>
        <v>-31.4</v>
      </c>
      <c r="L95" s="400">
        <f t="shared" si="23"/>
        <v>-31.4</v>
      </c>
      <c r="M95" s="400">
        <f t="shared" si="23"/>
        <v>-21.6</v>
      </c>
      <c r="N95" s="400">
        <f t="shared" si="23"/>
        <v>-20</v>
      </c>
      <c r="O95" s="400">
        <f t="shared" si="23"/>
        <v>-12.8</v>
      </c>
      <c r="P95" s="400">
        <f t="shared" si="23"/>
        <v>1.1</v>
      </c>
      <c r="Q95" s="400">
        <f t="shared" si="23"/>
        <v>1.1</v>
      </c>
      <c r="R95" s="400">
        <f t="shared" si="23"/>
        <v>7</v>
      </c>
      <c r="S95" s="400">
        <f t="shared" si="23"/>
        <v>3</v>
      </c>
      <c r="T95" s="400">
        <f t="shared" si="23"/>
        <v>-1.1</v>
      </c>
      <c r="U95" s="400">
        <f t="shared" si="23"/>
        <v>2.4</v>
      </c>
      <c r="V95" s="400">
        <f t="shared" si="23"/>
        <v>2.4</v>
      </c>
      <c r="W95" s="400">
        <f t="shared" si="23"/>
        <v>0.4</v>
      </c>
      <c r="X95" s="400">
        <f t="shared" si="23"/>
        <v>-0.3</v>
      </c>
      <c r="Y95" s="400">
        <f t="shared" si="23"/>
        <v>-3.2</v>
      </c>
      <c r="Z95" s="400">
        <f t="shared" si="23"/>
        <v>-4.2</v>
      </c>
      <c r="AA95" s="400">
        <f>SUM(AA93:AA94)</f>
        <v>-4.2</v>
      </c>
    </row>
    <row r="96" spans="1:27" ht="9.75" customHeight="1">
      <c r="A96" s="7"/>
      <c r="B96" s="1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7.25" customHeight="1">
      <c r="A97" s="7"/>
      <c r="B97" s="13" t="s">
        <v>218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7.25" customHeight="1" thickBot="1">
      <c r="A98" s="7"/>
      <c r="B98" s="35" t="s">
        <v>219</v>
      </c>
      <c r="C98" s="407">
        <v>2.9</v>
      </c>
      <c r="D98" s="408">
        <v>3</v>
      </c>
      <c r="E98" s="408">
        <v>3</v>
      </c>
      <c r="F98" s="408">
        <v>3.3</v>
      </c>
      <c r="G98" s="407">
        <f>+F98</f>
        <v>3.3</v>
      </c>
      <c r="H98" s="408">
        <v>3.8</v>
      </c>
      <c r="I98" s="408">
        <v>4.1</v>
      </c>
      <c r="J98" s="408">
        <v>4.7</v>
      </c>
      <c r="K98" s="408">
        <v>4</v>
      </c>
      <c r="L98" s="407">
        <f>+K98</f>
        <v>4</v>
      </c>
      <c r="M98" s="408">
        <v>3.9</v>
      </c>
      <c r="N98" s="408">
        <v>3.7</v>
      </c>
      <c r="O98" s="408">
        <v>3.7</v>
      </c>
      <c r="P98" s="408">
        <v>3.8</v>
      </c>
      <c r="Q98" s="407">
        <f>+P98</f>
        <v>3.8</v>
      </c>
      <c r="R98" s="408">
        <v>3.9</v>
      </c>
      <c r="S98" s="408">
        <v>3.9</v>
      </c>
      <c r="T98" s="408">
        <v>3.6</v>
      </c>
      <c r="U98" s="408">
        <v>3.4</v>
      </c>
      <c r="V98" s="407">
        <f>+U98</f>
        <v>3.4</v>
      </c>
      <c r="W98" s="408">
        <v>3.3</v>
      </c>
      <c r="X98" s="408">
        <v>3.1</v>
      </c>
      <c r="Y98" s="408">
        <v>3.2</v>
      </c>
      <c r="Z98" s="408">
        <v>3.4</v>
      </c>
      <c r="AA98" s="407">
        <f>+Z98</f>
        <v>3.4</v>
      </c>
    </row>
    <row r="99" spans="1:27" ht="9.75" customHeight="1" thickTop="1">
      <c r="A99" s="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7.25" customHeight="1">
      <c r="A101" s="7"/>
      <c r="B101" s="1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7.25" customHeight="1">
      <c r="A102" s="7"/>
      <c r="B102" s="12" t="s">
        <v>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</sheetData>
  <sheetProtection/>
  <mergeCells count="1">
    <mergeCell ref="B1:B2"/>
  </mergeCells>
  <conditionalFormatting sqref="H45:AA45 C70:AA70 C67:AA67 H36:AA36 C77:AA77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9" r:id="rId1"/>
  <headerFooter alignWithMargins="0">
    <oddFooter>&amp;C&amp;A</oddFooter>
  </headerFooter>
  <rowBreaks count="1" manualBreakCount="1">
    <brk id="50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7" width="11.57421875" style="1" customWidth="1"/>
    <col min="28" max="16384" width="1.7109375" style="1" customWidth="1"/>
  </cols>
  <sheetData>
    <row r="1" spans="1:27" ht="21.75" customHeight="1">
      <c r="A1" s="2"/>
      <c r="B1" s="421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7.25" customHeight="1" thickTop="1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7.25" customHeight="1">
      <c r="A6" s="7"/>
      <c r="B6" s="13" t="s">
        <v>113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20" customFormat="1" ht="17.25" customHeight="1" thickBot="1">
      <c r="A7" s="7"/>
      <c r="B7" s="30" t="s">
        <v>14</v>
      </c>
      <c r="C7" s="24">
        <v>-33</v>
      </c>
      <c r="D7" s="24">
        <v>-2</v>
      </c>
      <c r="E7" s="24">
        <v>52</v>
      </c>
      <c r="F7" s="24">
        <v>26</v>
      </c>
      <c r="G7" s="47">
        <f>+'Core Results'!G11-'Investment Banking'!G19-'Private Banking'!C7-'Asset Management'!G7</f>
        <v>43</v>
      </c>
      <c r="H7" s="47">
        <v>120</v>
      </c>
      <c r="I7" s="47">
        <v>113</v>
      </c>
      <c r="J7" s="47">
        <v>56</v>
      </c>
      <c r="K7" s="47">
        <v>5</v>
      </c>
      <c r="L7" s="47">
        <f>+'Core Results'!L11-'Investment Banking'!L19-'Private Banking'!H7-'Asset Management'!L7</f>
        <v>294</v>
      </c>
      <c r="M7" s="47">
        <f>+'Core Results'!M11-'Investment Banking'!M19-'Private Banking'!I7-'Asset Management'!M7</f>
        <v>231</v>
      </c>
      <c r="N7" s="47">
        <f>+'Core Results'!N11-'Investment Banking'!N19-'Private Banking'!J7-'Asset Management'!N7</f>
        <v>-786</v>
      </c>
      <c r="O7" s="47">
        <f>+'Core Results'!O11-'Investment Banking'!O19-'Private Banking'!K7-'Asset Management'!O7</f>
        <v>273</v>
      </c>
      <c r="P7" s="47">
        <f>+'Core Results'!P11-'Investment Banking'!P19-'Private Banking'!L7-'Asset Management'!P7</f>
        <v>-142</v>
      </c>
      <c r="Q7" s="47">
        <f>+'Core Results'!Q11-'Investment Banking'!Q19-'Private Banking'!M7-'Asset Management'!Q7</f>
        <v>-424</v>
      </c>
      <c r="R7" s="47">
        <f>+'Core Results'!R11-'Investment Banking'!R19-'Private Banking'!N7-'Asset Management'!R7</f>
        <v>214</v>
      </c>
      <c r="S7" s="47">
        <f>+'Core Results'!S11-'Investment Banking'!S19-'Private Banking'!O7-'Asset Management'!S7</f>
        <v>828</v>
      </c>
      <c r="T7" s="47">
        <f>+'Core Results'!T11-'Investment Banking'!T19-'Private Banking'!P7-'Asset Management'!T7</f>
        <v>-545</v>
      </c>
      <c r="U7" s="47">
        <f>+'Core Results'!U11-'Investment Banking'!U19-'Private Banking'!Q7-'Asset Management'!U7</f>
        <v>-49</v>
      </c>
      <c r="V7" s="47">
        <f>+'Core Results'!V11-'Investment Banking'!V19-'Private Banking'!R7-'Asset Management'!V7</f>
        <v>448</v>
      </c>
      <c r="W7" s="47">
        <f>+'Core Results'!W11-'Investment Banking'!W19-'Private Banking'!S7-'Asset Management'!W7</f>
        <v>-603</v>
      </c>
      <c r="X7" s="47">
        <f>+'Core Results'!X11-'Investment Banking'!X19-'Private Banking'!T7-'Asset Management'!X7</f>
        <v>78</v>
      </c>
      <c r="Y7" s="47">
        <f>+'Core Results'!Y11-'Investment Banking'!Y19-'Private Banking'!U7-'Asset Management'!Y7</f>
        <v>1242</v>
      </c>
      <c r="Z7" s="47">
        <f>+'Core Results'!Z11-'Investment Banking'!Z19-'Private Banking'!V7-'Asset Management'!Z7</f>
        <v>193</v>
      </c>
      <c r="AA7" s="47">
        <f>+'Core Results'!AA11-'Investment Banking'!AA19-'Private Banking'!W7-'Asset Management'!AA7</f>
        <v>910</v>
      </c>
    </row>
    <row r="8" spans="1:27" s="20" customFormat="1" ht="17.25" customHeight="1" thickBot="1">
      <c r="A8" s="7"/>
      <c r="B8" s="30" t="s">
        <v>15</v>
      </c>
      <c r="C8" s="24">
        <v>0</v>
      </c>
      <c r="D8" s="24">
        <v>0</v>
      </c>
      <c r="E8" s="24">
        <v>0</v>
      </c>
      <c r="F8" s="24">
        <v>-2</v>
      </c>
      <c r="G8" s="47">
        <f>+'Core Results'!G12-'Investment Banking'!G20-'Private Banking'!C8-'Asset Management'!G8</f>
        <v>-2</v>
      </c>
      <c r="H8" s="47">
        <v>1</v>
      </c>
      <c r="I8" s="47">
        <v>0</v>
      </c>
      <c r="J8" s="47">
        <v>-1</v>
      </c>
      <c r="K8" s="47">
        <v>1</v>
      </c>
      <c r="L8" s="47">
        <f>+'Core Results'!L12-'Investment Banking'!L20-'Private Banking'!H8-'Asset Management'!L8</f>
        <v>1</v>
      </c>
      <c r="M8" s="47">
        <f>+'Core Results'!M12-'Investment Banking'!M20-'Private Banking'!I8-'Asset Management'!M8</f>
        <v>0</v>
      </c>
      <c r="N8" s="47">
        <f>+'Core Results'!N12-'Investment Banking'!N20-'Private Banking'!J8-'Asset Management'!N8</f>
        <v>0</v>
      </c>
      <c r="O8" s="47">
        <f>+'Core Results'!O12-'Investment Banking'!O20-'Private Banking'!K8-'Asset Management'!O8</f>
        <v>0</v>
      </c>
      <c r="P8" s="47">
        <f>+'Core Results'!P12-'Investment Banking'!P20-'Private Banking'!L8-'Asset Management'!P8</f>
        <v>0</v>
      </c>
      <c r="Q8" s="47">
        <f>+'Core Results'!Q12-'Investment Banking'!Q20-'Private Banking'!M8-'Asset Management'!Q8</f>
        <v>0</v>
      </c>
      <c r="R8" s="47">
        <f>+'Core Results'!R12-'Investment Banking'!R20-'Private Banking'!N8-'Asset Management'!R8</f>
        <v>0</v>
      </c>
      <c r="S8" s="47">
        <f>+'Core Results'!S12-'Investment Banking'!S20-'Private Banking'!O8-'Asset Management'!S8</f>
        <v>0</v>
      </c>
      <c r="T8" s="47">
        <f>+'Core Results'!T12-'Investment Banking'!T20-'Private Banking'!P8-'Asset Management'!T8</f>
        <v>0</v>
      </c>
      <c r="U8" s="47">
        <f>+'Core Results'!U12-'Investment Banking'!U20-'Private Banking'!Q8-'Asset Management'!U8</f>
        <v>0</v>
      </c>
      <c r="V8" s="47">
        <f>+'Core Results'!V12-'Investment Banking'!V20-'Private Banking'!R8-'Asset Management'!V8</f>
        <v>0</v>
      </c>
      <c r="W8" s="47">
        <f>+'Core Results'!W12-'Investment Banking'!W20-'Private Banking'!S8-'Asset Management'!W8</f>
        <v>0</v>
      </c>
      <c r="X8" s="47">
        <f>+'Core Results'!X12-'Investment Banking'!X20-'Private Banking'!T8-'Asset Management'!X8</f>
        <v>0</v>
      </c>
      <c r="Y8" s="47">
        <f>+'Core Results'!Y12-'Investment Banking'!Y20-'Private Banking'!U8-'Asset Management'!Y8</f>
        <v>0</v>
      </c>
      <c r="Z8" s="47">
        <f>+'Core Results'!Z12-'Investment Banking'!Z20-'Private Banking'!V8-'Asset Management'!Z8</f>
        <v>0</v>
      </c>
      <c r="AA8" s="47">
        <f>+'Core Results'!AA12-'Investment Banking'!AA20-'Private Banking'!W8-'Asset Management'!AA8</f>
        <v>0</v>
      </c>
    </row>
    <row r="9" spans="1:27" ht="17.25" customHeight="1">
      <c r="A9" s="7"/>
      <c r="B9" s="32" t="s">
        <v>16</v>
      </c>
      <c r="C9" s="45">
        <v>69</v>
      </c>
      <c r="D9" s="45">
        <v>62</v>
      </c>
      <c r="E9" s="45">
        <v>77</v>
      </c>
      <c r="F9" s="45">
        <v>-30</v>
      </c>
      <c r="G9" s="59">
        <f>+'Core Results'!G13-'Investment Banking'!G21-'Private Banking'!C9-'Asset Management'!G9</f>
        <v>178</v>
      </c>
      <c r="H9" s="59">
        <v>60</v>
      </c>
      <c r="I9" s="59">
        <v>103</v>
      </c>
      <c r="J9" s="59">
        <v>64</v>
      </c>
      <c r="K9" s="59">
        <v>631</v>
      </c>
      <c r="L9" s="59">
        <f>+'Core Results'!L13-'Investment Banking'!L21-'Private Banking'!H9-'Asset Management'!L9</f>
        <v>858</v>
      </c>
      <c r="M9" s="59">
        <f>+'Core Results'!M13-'Investment Banking'!M21-'Private Banking'!I9-'Asset Management'!M9</f>
        <v>-47</v>
      </c>
      <c r="N9" s="59">
        <f>+'Core Results'!N13-'Investment Banking'!N21-'Private Banking'!J9-'Asset Management'!N9</f>
        <v>220</v>
      </c>
      <c r="O9" s="59">
        <f>+'Core Results'!O13-'Investment Banking'!O21-'Private Banking'!K9-'Asset Management'!O9</f>
        <v>280</v>
      </c>
      <c r="P9" s="59">
        <f>+'Core Results'!P13-'Investment Banking'!P21-'Private Banking'!L9-'Asset Management'!P9</f>
        <v>81</v>
      </c>
      <c r="Q9" s="59">
        <f>+'Core Results'!Q13-'Investment Banking'!Q21-'Private Banking'!M9-'Asset Management'!Q9</f>
        <v>534</v>
      </c>
      <c r="R9" s="59">
        <f>+'Core Results'!R13-'Investment Banking'!R21-'Private Banking'!N9-'Asset Management'!R9</f>
        <v>102</v>
      </c>
      <c r="S9" s="59">
        <f>+'Core Results'!S13-'Investment Banking'!S21-'Private Banking'!O9-'Asset Management'!S9</f>
        <v>465</v>
      </c>
      <c r="T9" s="59">
        <f>+'Core Results'!T13-'Investment Banking'!T21-'Private Banking'!P9-'Asset Management'!T9</f>
        <v>55</v>
      </c>
      <c r="U9" s="59">
        <f>+'Core Results'!U13-'Investment Banking'!U21-'Private Banking'!Q9-'Asset Management'!U9</f>
        <v>88</v>
      </c>
      <c r="V9" s="59">
        <f>+'Core Results'!V13-'Investment Banking'!V21-'Private Banking'!R9-'Asset Management'!V9</f>
        <v>710</v>
      </c>
      <c r="W9" s="59">
        <f>+'Core Results'!W13-'Investment Banking'!W21-'Private Banking'!S9-'Asset Management'!W9</f>
        <v>133</v>
      </c>
      <c r="X9" s="59">
        <f>+'Core Results'!X13-'Investment Banking'!X21-'Private Banking'!T9-'Asset Management'!X9</f>
        <v>263</v>
      </c>
      <c r="Y9" s="59">
        <f>+'Core Results'!Y13-'Investment Banking'!Y21-'Private Banking'!U9-'Asset Management'!Y9</f>
        <v>227</v>
      </c>
      <c r="Z9" s="59">
        <f>+'Core Results'!Z13-'Investment Banking'!Z21-'Private Banking'!V9-'Asset Management'!Z9</f>
        <v>328</v>
      </c>
      <c r="AA9" s="59">
        <f>+'Core Results'!AA13-'Investment Banking'!AA21-'Private Banking'!W9-'Asset Management'!AA9</f>
        <v>951</v>
      </c>
    </row>
    <row r="10" spans="1:27" ht="17.25" customHeight="1">
      <c r="A10" s="7"/>
      <c r="B10" s="111" t="s">
        <v>17</v>
      </c>
      <c r="C10" s="141">
        <v>7</v>
      </c>
      <c r="D10" s="141">
        <v>13</v>
      </c>
      <c r="E10" s="141">
        <v>7</v>
      </c>
      <c r="F10" s="141">
        <v>109</v>
      </c>
      <c r="G10" s="112">
        <f>+'Core Results'!G14-'Investment Banking'!G22-'Private Banking'!C10-'Asset Management'!G10</f>
        <v>136</v>
      </c>
      <c r="H10" s="112">
        <v>7</v>
      </c>
      <c r="I10" s="112">
        <v>32</v>
      </c>
      <c r="J10" s="112">
        <v>-18</v>
      </c>
      <c r="K10" s="112">
        <v>401</v>
      </c>
      <c r="L10" s="112">
        <f>+'Core Results'!L14-'Investment Banking'!L22-'Private Banking'!H10-'Asset Management'!L10</f>
        <v>422</v>
      </c>
      <c r="M10" s="112">
        <f>+'Core Results'!M14-'Investment Banking'!M22-'Private Banking'!I10-'Asset Management'!M10</f>
        <v>122</v>
      </c>
      <c r="N10" s="112">
        <f>+'Core Results'!N14-'Investment Banking'!N22-'Private Banking'!J10-'Asset Management'!N10</f>
        <v>50</v>
      </c>
      <c r="O10" s="112">
        <f>+'Core Results'!O14-'Investment Banking'!O22-'Private Banking'!K10-'Asset Management'!O10</f>
        <v>302</v>
      </c>
      <c r="P10" s="112">
        <f>+'Core Results'!P14-'Investment Banking'!P22-'Private Banking'!L10-'Asset Management'!P10</f>
        <v>434</v>
      </c>
      <c r="Q10" s="112">
        <f>+'Core Results'!Q14-'Investment Banking'!Q22-'Private Banking'!M10-'Asset Management'!Q10</f>
        <v>908</v>
      </c>
      <c r="R10" s="112">
        <f>+'Core Results'!R14-'Investment Banking'!R22-'Private Banking'!N10-'Asset Management'!R10</f>
        <v>28</v>
      </c>
      <c r="S10" s="112">
        <f>+'Core Results'!S14-'Investment Banking'!S22-'Private Banking'!O10-'Asset Management'!S10</f>
        <v>234</v>
      </c>
      <c r="T10" s="112">
        <f>+'Core Results'!T14-'Investment Banking'!T22-'Private Banking'!P10-'Asset Management'!T10</f>
        <v>4</v>
      </c>
      <c r="U10" s="112">
        <f>+'Core Results'!U14-'Investment Banking'!U22-'Private Banking'!Q10-'Asset Management'!U10</f>
        <v>57</v>
      </c>
      <c r="V10" s="112">
        <f>+'Core Results'!V14-'Investment Banking'!V22-'Private Banking'!R10-'Asset Management'!V10</f>
        <v>323</v>
      </c>
      <c r="W10" s="112">
        <f>+'Core Results'!W14-'Investment Banking'!W22-'Private Banking'!S10-'Asset Management'!W10</f>
        <v>1</v>
      </c>
      <c r="X10" s="112">
        <f>+'Core Results'!X14-'Investment Banking'!X22-'Private Banking'!T10-'Asset Management'!X10</f>
        <v>5</v>
      </c>
      <c r="Y10" s="112">
        <f>+'Core Results'!Y14-'Investment Banking'!Y22-'Private Banking'!U10-'Asset Management'!Y10</f>
        <v>44</v>
      </c>
      <c r="Z10" s="112">
        <f>+'Core Results'!Z14-'Investment Banking'!Z22-'Private Banking'!V10-'Asset Management'!Z10</f>
        <v>94</v>
      </c>
      <c r="AA10" s="112">
        <f>+'Core Results'!AA14-'Investment Banking'!AA22-'Private Banking'!W10-'Asset Management'!AA10</f>
        <v>144</v>
      </c>
    </row>
    <row r="11" spans="1:27" s="20" customFormat="1" ht="17.25" customHeight="1">
      <c r="A11" s="7"/>
      <c r="B11" s="31" t="s">
        <v>18</v>
      </c>
      <c r="C11" s="42">
        <v>-20</v>
      </c>
      <c r="D11" s="42">
        <v>-20</v>
      </c>
      <c r="E11" s="42">
        <v>-24</v>
      </c>
      <c r="F11" s="42">
        <v>-13</v>
      </c>
      <c r="G11" s="60">
        <f>+'Core Results'!G15-'Investment Banking'!G23-'Private Banking'!C11-'Asset Management'!G11</f>
        <v>-77</v>
      </c>
      <c r="H11" s="60">
        <v>-10</v>
      </c>
      <c r="I11" s="60">
        <v>47</v>
      </c>
      <c r="J11" s="60">
        <v>-21</v>
      </c>
      <c r="K11" s="60">
        <v>33</v>
      </c>
      <c r="L11" s="60">
        <f>+'Core Results'!L15-'Investment Banking'!L23-'Private Banking'!H11-'Asset Management'!L11</f>
        <v>49</v>
      </c>
      <c r="M11" s="60">
        <f>+'Core Results'!M15-'Investment Banking'!M23-'Private Banking'!I11-'Asset Management'!M11</f>
        <v>18</v>
      </c>
      <c r="N11" s="60">
        <f>+'Core Results'!N15-'Investment Banking'!N23-'Private Banking'!J11-'Asset Management'!N11</f>
        <v>25</v>
      </c>
      <c r="O11" s="60">
        <f>+'Core Results'!O15-'Investment Banking'!O23-'Private Banking'!K11-'Asset Management'!O11</f>
        <v>-5</v>
      </c>
      <c r="P11" s="60">
        <f>+'Core Results'!P15-'Investment Banking'!P23-'Private Banking'!L11-'Asset Management'!P11</f>
        <v>44</v>
      </c>
      <c r="Q11" s="60">
        <f>+'Core Results'!Q15-'Investment Banking'!Q23-'Private Banking'!M11-'Asset Management'!Q11</f>
        <v>82</v>
      </c>
      <c r="R11" s="60">
        <f>+'Core Results'!R15-'Investment Banking'!R23-'Private Banking'!N11-'Asset Management'!R11</f>
        <v>2</v>
      </c>
      <c r="S11" s="60">
        <f>+'Core Results'!S15-'Investment Banking'!S23-'Private Banking'!O11-'Asset Management'!S11</f>
        <v>3</v>
      </c>
      <c r="T11" s="60">
        <f>+'Core Results'!T15-'Investment Banking'!T23-'Private Banking'!P11-'Asset Management'!T11</f>
        <v>9</v>
      </c>
      <c r="U11" s="60">
        <f>+'Core Results'!U15-'Investment Banking'!U23-'Private Banking'!Q11-'Asset Management'!U11</f>
        <v>61</v>
      </c>
      <c r="V11" s="60">
        <f>+'Core Results'!V15-'Investment Banking'!V23-'Private Banking'!R11-'Asset Management'!V11</f>
        <v>75</v>
      </c>
      <c r="W11" s="60">
        <f>+'Core Results'!W15-'Investment Banking'!W23-'Private Banking'!S11-'Asset Management'!W11</f>
        <v>8</v>
      </c>
      <c r="X11" s="60">
        <f>+'Core Results'!X15-'Investment Banking'!X23-'Private Banking'!T11-'Asset Management'!X11</f>
        <v>0</v>
      </c>
      <c r="Y11" s="60">
        <f>+'Core Results'!Y15-'Investment Banking'!Y23-'Private Banking'!U11-'Asset Management'!Y11</f>
        <v>20</v>
      </c>
      <c r="Z11" s="60">
        <f>+'Core Results'!Z15-'Investment Banking'!Z23-'Private Banking'!V11-'Asset Management'!Z11</f>
        <v>18</v>
      </c>
      <c r="AA11" s="60">
        <f>+'Core Results'!AA15-'Investment Banking'!AA23-'Private Banking'!W11-'Asset Management'!AA11</f>
        <v>46</v>
      </c>
    </row>
    <row r="12" spans="1:27" s="20" customFormat="1" ht="17.25" customHeight="1">
      <c r="A12" s="7"/>
      <c r="B12" s="32" t="s">
        <v>19</v>
      </c>
      <c r="C12" s="33">
        <v>-13</v>
      </c>
      <c r="D12" s="33">
        <v>-7</v>
      </c>
      <c r="E12" s="33">
        <v>-17</v>
      </c>
      <c r="F12" s="33">
        <v>96</v>
      </c>
      <c r="G12" s="57">
        <f>+'Core Results'!G16-'Investment Banking'!G24-'Private Banking'!C12-'Asset Management'!G12</f>
        <v>59</v>
      </c>
      <c r="H12" s="57">
        <v>-3</v>
      </c>
      <c r="I12" s="57">
        <v>79</v>
      </c>
      <c r="J12" s="57">
        <v>-39</v>
      </c>
      <c r="K12" s="57">
        <v>434</v>
      </c>
      <c r="L12" s="57">
        <f>+'Core Results'!L16-'Investment Banking'!L24-'Private Banking'!H12-'Asset Management'!L12</f>
        <v>471</v>
      </c>
      <c r="M12" s="57">
        <f>+'Core Results'!M16-'Investment Banking'!M24-'Private Banking'!I12-'Asset Management'!M12</f>
        <v>140</v>
      </c>
      <c r="N12" s="57">
        <f>+'Core Results'!N16-'Investment Banking'!N24-'Private Banking'!J12-'Asset Management'!N12</f>
        <v>75</v>
      </c>
      <c r="O12" s="57">
        <f>+'Core Results'!O16-'Investment Banking'!O24-'Private Banking'!K12-'Asset Management'!O12</f>
        <v>297</v>
      </c>
      <c r="P12" s="57">
        <f>+'Core Results'!P16-'Investment Banking'!P24-'Private Banking'!L12-'Asset Management'!P12</f>
        <v>478</v>
      </c>
      <c r="Q12" s="57">
        <f>+'Core Results'!Q16-'Investment Banking'!Q24-'Private Banking'!M12-'Asset Management'!Q12</f>
        <v>990</v>
      </c>
      <c r="R12" s="57">
        <f>+'Core Results'!R16-'Investment Banking'!R24-'Private Banking'!N12-'Asset Management'!R12</f>
        <v>30</v>
      </c>
      <c r="S12" s="57">
        <f>+'Core Results'!S16-'Investment Banking'!S24-'Private Banking'!O12-'Asset Management'!S12</f>
        <v>237</v>
      </c>
      <c r="T12" s="57">
        <f>+'Core Results'!T16-'Investment Banking'!T24-'Private Banking'!P12-'Asset Management'!T12</f>
        <v>13</v>
      </c>
      <c r="U12" s="57">
        <f>+'Core Results'!U16-'Investment Banking'!U24-'Private Banking'!Q12-'Asset Management'!U12</f>
        <v>118</v>
      </c>
      <c r="V12" s="57">
        <f>+'Core Results'!V16-'Investment Banking'!V24-'Private Banking'!R12-'Asset Management'!V12</f>
        <v>398</v>
      </c>
      <c r="W12" s="57">
        <f>+'Core Results'!W16-'Investment Banking'!W24-'Private Banking'!S12-'Asset Management'!W12</f>
        <v>9</v>
      </c>
      <c r="X12" s="57">
        <f>+'Core Results'!X16-'Investment Banking'!X24-'Private Banking'!T12-'Asset Management'!X12</f>
        <v>5</v>
      </c>
      <c r="Y12" s="57">
        <f>+'Core Results'!Y16-'Investment Banking'!Y24-'Private Banking'!U12-'Asset Management'!Y12</f>
        <v>64</v>
      </c>
      <c r="Z12" s="57">
        <f>+'Core Results'!Z16-'Investment Banking'!Z24-'Private Banking'!V12-'Asset Management'!Z12</f>
        <v>112</v>
      </c>
      <c r="AA12" s="57">
        <f>+'Core Results'!AA16-'Investment Banking'!AA24-'Private Banking'!W12-'Asset Management'!AA12</f>
        <v>190</v>
      </c>
    </row>
    <row r="13" spans="1:27" s="20" customFormat="1" ht="17.25" customHeight="1" thickBot="1">
      <c r="A13" s="7"/>
      <c r="B13" s="30" t="s">
        <v>20</v>
      </c>
      <c r="C13" s="24">
        <v>56</v>
      </c>
      <c r="D13" s="24">
        <v>55</v>
      </c>
      <c r="E13" s="24">
        <v>60</v>
      </c>
      <c r="F13" s="24">
        <v>66</v>
      </c>
      <c r="G13" s="47">
        <f>+'Core Results'!G17-'Investment Banking'!G25-'Private Banking'!C13-'Asset Management'!G13</f>
        <v>237</v>
      </c>
      <c r="H13" s="47">
        <v>57</v>
      </c>
      <c r="I13" s="47">
        <v>182</v>
      </c>
      <c r="J13" s="47">
        <v>25</v>
      </c>
      <c r="K13" s="47">
        <v>1065</v>
      </c>
      <c r="L13" s="47">
        <f>+'Core Results'!L17-'Investment Banking'!L25-'Private Banking'!H13-'Asset Management'!L13</f>
        <v>1329</v>
      </c>
      <c r="M13" s="47">
        <f>+'Core Results'!M17-'Investment Banking'!M25-'Private Banking'!I13-'Asset Management'!M13</f>
        <v>93</v>
      </c>
      <c r="N13" s="47">
        <f>+'Core Results'!N17-'Investment Banking'!N25-'Private Banking'!J13-'Asset Management'!N13</f>
        <v>295</v>
      </c>
      <c r="O13" s="47">
        <f>+'Core Results'!O17-'Investment Banking'!O25-'Private Banking'!K13-'Asset Management'!O13</f>
        <v>577</v>
      </c>
      <c r="P13" s="47">
        <f>+'Core Results'!P17-'Investment Banking'!P25-'Private Banking'!L13-'Asset Management'!P13</f>
        <v>559</v>
      </c>
      <c r="Q13" s="47">
        <f>+'Core Results'!Q17-'Investment Banking'!Q25-'Private Banking'!M13-'Asset Management'!Q13</f>
        <v>1524</v>
      </c>
      <c r="R13" s="47">
        <f>+'Core Results'!R17-'Investment Banking'!R25-'Private Banking'!N13-'Asset Management'!R13</f>
        <v>132</v>
      </c>
      <c r="S13" s="47">
        <f>+'Core Results'!S17-'Investment Banking'!S25-'Private Banking'!O13-'Asset Management'!S13</f>
        <v>702</v>
      </c>
      <c r="T13" s="47">
        <f>+'Core Results'!T17-'Investment Banking'!T25-'Private Banking'!P13-'Asset Management'!T13</f>
        <v>68</v>
      </c>
      <c r="U13" s="47">
        <f>+'Core Results'!U17-'Investment Banking'!U25-'Private Banking'!Q13-'Asset Management'!U13</f>
        <v>206</v>
      </c>
      <c r="V13" s="47">
        <f>+'Core Results'!V17-'Investment Banking'!V25-'Private Banking'!R13-'Asset Management'!V13</f>
        <v>1108</v>
      </c>
      <c r="W13" s="47">
        <f>+'Core Results'!W17-'Investment Banking'!W25-'Private Banking'!S13-'Asset Management'!W13</f>
        <v>142</v>
      </c>
      <c r="X13" s="47">
        <f>+'Core Results'!X17-'Investment Banking'!X25-'Private Banking'!T13-'Asset Management'!X13</f>
        <v>268</v>
      </c>
      <c r="Y13" s="47">
        <f>+'Core Results'!Y17-'Investment Banking'!Y25-'Private Banking'!U13-'Asset Management'!Y13</f>
        <v>291</v>
      </c>
      <c r="Z13" s="47">
        <f>+'Core Results'!Z17-'Investment Banking'!Z25-'Private Banking'!V13-'Asset Management'!Z13</f>
        <v>440</v>
      </c>
      <c r="AA13" s="47">
        <f>+'Core Results'!AA17-'Investment Banking'!AA25-'Private Banking'!W13-'Asset Management'!AA13</f>
        <v>1141</v>
      </c>
    </row>
    <row r="14" spans="1:27" s="20" customFormat="1" ht="26.25" thickBot="1">
      <c r="A14" s="7"/>
      <c r="B14" s="46" t="s">
        <v>98</v>
      </c>
      <c r="C14" s="24">
        <v>-89</v>
      </c>
      <c r="D14" s="24">
        <v>-57</v>
      </c>
      <c r="E14" s="24">
        <v>-8</v>
      </c>
      <c r="F14" s="24">
        <v>-38</v>
      </c>
      <c r="G14" s="47">
        <f>+'Core Results'!G18-'Investment Banking'!G26-'Private Banking'!C14-'Asset Management'!G14</f>
        <v>-192</v>
      </c>
      <c r="H14" s="47">
        <v>62</v>
      </c>
      <c r="I14" s="47">
        <v>-69</v>
      </c>
      <c r="J14" s="47">
        <v>32</v>
      </c>
      <c r="K14" s="47">
        <v>-1061</v>
      </c>
      <c r="L14" s="47">
        <f>+'Core Results'!L18-'Investment Banking'!L26-'Private Banking'!H14-'Asset Management'!L14</f>
        <v>-1036</v>
      </c>
      <c r="M14" s="47">
        <f>+'Core Results'!M18-'Investment Banking'!M26-'Private Banking'!I14-'Asset Management'!M14</f>
        <v>138</v>
      </c>
      <c r="N14" s="47">
        <f>+'Core Results'!N18-'Investment Banking'!N26-'Private Banking'!J14-'Asset Management'!N14</f>
        <v>-1081</v>
      </c>
      <c r="O14" s="47">
        <f>+'Core Results'!O18-'Investment Banking'!O26-'Private Banking'!K14-'Asset Management'!O14</f>
        <v>-304</v>
      </c>
      <c r="P14" s="47">
        <f>+'Core Results'!P18-'Investment Banking'!P26-'Private Banking'!L14-'Asset Management'!P14</f>
        <v>-701</v>
      </c>
      <c r="Q14" s="47">
        <f>+'Core Results'!Q18-'Investment Banking'!Q26-'Private Banking'!M14-'Asset Management'!Q14</f>
        <v>-1948</v>
      </c>
      <c r="R14" s="47">
        <f>+'Core Results'!R18-'Investment Banking'!R26-'Private Banking'!N14-'Asset Management'!R14</f>
        <v>82</v>
      </c>
      <c r="S14" s="47">
        <f>+'Core Results'!S18-'Investment Banking'!S26-'Private Banking'!O14-'Asset Management'!S14</f>
        <v>126</v>
      </c>
      <c r="T14" s="47">
        <f>+'Core Results'!T18-'Investment Banking'!T26-'Private Banking'!P14-'Asset Management'!T14</f>
        <v>-613</v>
      </c>
      <c r="U14" s="47">
        <f>+'Core Results'!U18-'Investment Banking'!U26-'Private Banking'!Q14-'Asset Management'!U14</f>
        <v>-255</v>
      </c>
      <c r="V14" s="47">
        <f>+'Core Results'!V18-'Investment Banking'!V26-'Private Banking'!R14-'Asset Management'!V14</f>
        <v>-660</v>
      </c>
      <c r="W14" s="47">
        <f>+'Core Results'!W18-'Investment Banking'!W26-'Private Banking'!S14-'Asset Management'!W14</f>
        <v>-745</v>
      </c>
      <c r="X14" s="47">
        <f>+'Core Results'!X18-'Investment Banking'!X26-'Private Banking'!T14-'Asset Management'!X14</f>
        <v>-190</v>
      </c>
      <c r="Y14" s="47">
        <f>+'Core Results'!Y18-'Investment Banking'!Y26-'Private Banking'!U14-'Asset Management'!Y14</f>
        <v>951</v>
      </c>
      <c r="Z14" s="47">
        <f>+'Core Results'!Z18-'Investment Banking'!Z26-'Private Banking'!V14-'Asset Management'!Z14</f>
        <v>-247</v>
      </c>
      <c r="AA14" s="47">
        <f>+'Core Results'!AA18-'Investment Banking'!AA26-'Private Banking'!W14-'Asset Management'!AA14</f>
        <v>-231</v>
      </c>
    </row>
    <row r="15" spans="1:27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.25" customHeight="1">
      <c r="A16" s="7"/>
      <c r="B16" s="13" t="s">
        <v>63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.25" customHeight="1" thickBot="1">
      <c r="A17" s="7"/>
      <c r="B17" s="35" t="s">
        <v>64</v>
      </c>
      <c r="C17" s="73">
        <f>+'Core Results'!C44</f>
        <v>600</v>
      </c>
      <c r="D17" s="73">
        <f>+'Core Results'!D44</f>
        <v>600</v>
      </c>
      <c r="E17" s="73">
        <f>+'Core Results'!E44</f>
        <v>700</v>
      </c>
      <c r="F17" s="73">
        <f>+'Core Results'!F44</f>
        <v>700</v>
      </c>
      <c r="G17" s="73">
        <f>+'Core Results'!G44</f>
        <v>700</v>
      </c>
      <c r="H17" s="73">
        <f>+'Core Results'!H44</f>
        <v>700</v>
      </c>
      <c r="I17" s="73">
        <f>+'Core Results'!I44</f>
        <v>700</v>
      </c>
      <c r="J17" s="73">
        <f>+'Core Results'!J44</f>
        <v>700</v>
      </c>
      <c r="K17" s="73">
        <f>+'Core Results'!K44</f>
        <v>700</v>
      </c>
      <c r="L17" s="73">
        <f>+'Core Results'!L44</f>
        <v>700</v>
      </c>
      <c r="M17" s="73">
        <f>+'Core Results'!M44</f>
        <v>700</v>
      </c>
      <c r="N17" s="73">
        <f>+'Core Results'!N44</f>
        <v>700</v>
      </c>
      <c r="O17" s="73">
        <f>+'Core Results'!O44</f>
        <v>800</v>
      </c>
      <c r="P17" s="73">
        <f>+'Core Results'!P44</f>
        <v>800</v>
      </c>
      <c r="Q17" s="73">
        <f>+'Core Results'!Q44</f>
        <v>800</v>
      </c>
      <c r="R17" s="73">
        <f>+'Core Results'!R44</f>
        <v>800</v>
      </c>
      <c r="S17" s="73">
        <f>+'Core Results'!S44</f>
        <v>900</v>
      </c>
      <c r="T17" s="73">
        <f>+'Core Results'!T44</f>
        <v>900</v>
      </c>
      <c r="U17" s="73">
        <f>+'Core Results'!U44</f>
        <v>900</v>
      </c>
      <c r="V17" s="73">
        <f>+'Core Results'!V44</f>
        <v>900</v>
      </c>
      <c r="W17" s="73">
        <f>+'Core Results'!W44</f>
        <v>900</v>
      </c>
      <c r="X17" s="73">
        <f>+'Core Results'!X44</f>
        <v>900</v>
      </c>
      <c r="Y17" s="73">
        <f>+'Core Results'!Y44</f>
        <v>900</v>
      </c>
      <c r="Z17" s="73">
        <f>+'Core Results'!Z44</f>
        <v>900</v>
      </c>
      <c r="AA17" s="73">
        <f>+'Core Results'!AA44</f>
        <v>900</v>
      </c>
    </row>
    <row r="18" spans="1:27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7.25" customHeight="1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4" ht="12" customHeight="1"/>
    <row r="33" ht="11.25" customHeight="1"/>
    <row r="48" ht="11.25" customHeight="1"/>
    <row r="56" ht="13.5" customHeight="1"/>
    <row r="72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7" width="11.57421875" style="1" customWidth="1"/>
    <col min="28" max="16384" width="1.7109375" style="1" customWidth="1"/>
  </cols>
  <sheetData>
    <row r="1" spans="1:27" ht="21.75" customHeight="1">
      <c r="A1" s="2"/>
      <c r="B1" s="423" t="s">
        <v>162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29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7.25" customHeight="1">
      <c r="A6" s="7"/>
      <c r="B6" s="13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7.25" customHeight="1">
      <c r="A7" s="7"/>
      <c r="B7" s="14" t="s">
        <v>26</v>
      </c>
      <c r="C7" s="140">
        <v>973.7</v>
      </c>
      <c r="D7" s="140">
        <v>1016.2</v>
      </c>
      <c r="E7" s="140">
        <v>991.7</v>
      </c>
      <c r="F7" s="140">
        <v>995.4</v>
      </c>
      <c r="G7" s="106">
        <v>995.4</v>
      </c>
      <c r="H7" s="140">
        <v>899.6</v>
      </c>
      <c r="I7" s="140">
        <v>926.8</v>
      </c>
      <c r="J7" s="140">
        <v>904.3</v>
      </c>
      <c r="K7" s="140">
        <v>788.9</v>
      </c>
      <c r="L7" s="106">
        <v>788.9</v>
      </c>
      <c r="M7" s="140">
        <v>808.7</v>
      </c>
      <c r="N7" s="140">
        <v>862.2</v>
      </c>
      <c r="O7" s="140">
        <v>901.8</v>
      </c>
      <c r="P7" s="140">
        <v>914.9</v>
      </c>
      <c r="Q7" s="106">
        <f>P7</f>
        <v>914.9</v>
      </c>
      <c r="R7" s="140">
        <v>945.7</v>
      </c>
      <c r="S7" s="140">
        <v>925.6</v>
      </c>
      <c r="T7" s="140">
        <v>935.1</v>
      </c>
      <c r="U7" s="140">
        <v>932.9</v>
      </c>
      <c r="V7" s="106">
        <f>U7</f>
        <v>932.9</v>
      </c>
      <c r="W7" s="140">
        <v>957.9</v>
      </c>
      <c r="X7" s="140">
        <v>919.1</v>
      </c>
      <c r="Y7" s="140">
        <v>891.4</v>
      </c>
      <c r="Z7" s="140">
        <v>927.9</v>
      </c>
      <c r="AA7" s="106">
        <f>Z7</f>
        <v>927.9</v>
      </c>
    </row>
    <row r="8" spans="1:27" ht="17.25" customHeight="1">
      <c r="A8" s="7"/>
      <c r="B8" s="14" t="s">
        <v>27</v>
      </c>
      <c r="C8" s="140">
        <v>625.5</v>
      </c>
      <c r="D8" s="140">
        <v>660.1</v>
      </c>
      <c r="E8" s="140">
        <v>623.7</v>
      </c>
      <c r="F8" s="140">
        <v>599.4</v>
      </c>
      <c r="G8" s="106">
        <f>+F8</f>
        <v>599.4</v>
      </c>
      <c r="H8" s="140">
        <v>517.4</v>
      </c>
      <c r="I8" s="140">
        <v>513.6</v>
      </c>
      <c r="J8" s="140">
        <v>491.2</v>
      </c>
      <c r="K8" s="140">
        <v>411.5</v>
      </c>
      <c r="L8" s="106">
        <f>+K8</f>
        <v>411.5</v>
      </c>
      <c r="M8" s="140">
        <v>405.7</v>
      </c>
      <c r="N8" s="140">
        <v>410.7</v>
      </c>
      <c r="O8" s="140">
        <v>427.9</v>
      </c>
      <c r="P8" s="140">
        <v>416</v>
      </c>
      <c r="Q8" s="106">
        <f>+P8</f>
        <v>416</v>
      </c>
      <c r="R8" s="140">
        <v>434.2</v>
      </c>
      <c r="S8" s="140">
        <v>423</v>
      </c>
      <c r="T8" s="140">
        <v>423.1</v>
      </c>
      <c r="U8" s="140">
        <v>425.8</v>
      </c>
      <c r="V8" s="106">
        <f>+U8</f>
        <v>425.8</v>
      </c>
      <c r="W8" s="140">
        <v>435.8</v>
      </c>
      <c r="X8" s="140">
        <v>421.7</v>
      </c>
      <c r="Y8" s="140">
        <v>409.7</v>
      </c>
      <c r="Z8" s="140">
        <v>408</v>
      </c>
      <c r="AA8" s="106">
        <f>+Z8</f>
        <v>408</v>
      </c>
    </row>
    <row r="9" spans="1:27" ht="32.25" customHeight="1">
      <c r="A9" s="7"/>
      <c r="B9" s="147" t="s">
        <v>167</v>
      </c>
      <c r="C9" s="140">
        <v>-130.8</v>
      </c>
      <c r="D9" s="140">
        <v>-136.8</v>
      </c>
      <c r="E9" s="140">
        <v>-134.5</v>
      </c>
      <c r="F9" s="140">
        <v>-132</v>
      </c>
      <c r="G9" s="106">
        <f>+F9</f>
        <v>-132</v>
      </c>
      <c r="H9" s="140">
        <v>-119.5</v>
      </c>
      <c r="I9" s="140">
        <v>-119.9</v>
      </c>
      <c r="J9" s="140">
        <v>-112.1</v>
      </c>
      <c r="K9" s="140">
        <v>-94.3</v>
      </c>
      <c r="L9" s="106">
        <f>+K9</f>
        <v>-94.3</v>
      </c>
      <c r="M9" s="140">
        <v>-92.7</v>
      </c>
      <c r="N9" s="140">
        <v>-97.7</v>
      </c>
      <c r="O9" s="140">
        <v>-104.4</v>
      </c>
      <c r="P9" s="140">
        <v>-101.9</v>
      </c>
      <c r="Q9" s="106">
        <f>+P9</f>
        <v>-101.9</v>
      </c>
      <c r="R9" s="140">
        <v>-109</v>
      </c>
      <c r="S9" s="140">
        <v>-106</v>
      </c>
      <c r="T9" s="140">
        <v>-107</v>
      </c>
      <c r="U9" s="140">
        <v>-105.7</v>
      </c>
      <c r="V9" s="106">
        <f>+U9</f>
        <v>-105.7</v>
      </c>
      <c r="W9" s="140">
        <v>-111.3</v>
      </c>
      <c r="X9" s="140">
        <v>-107.5</v>
      </c>
      <c r="Y9" s="140">
        <v>-104.3</v>
      </c>
      <c r="Z9" s="140">
        <v>-106.4</v>
      </c>
      <c r="AA9" s="106">
        <f>+Z9</f>
        <v>-106.4</v>
      </c>
    </row>
    <row r="10" spans="1:27" ht="34.5" customHeight="1" thickBot="1">
      <c r="A10" s="7"/>
      <c r="B10" s="143" t="s">
        <v>165</v>
      </c>
      <c r="C10" s="107">
        <f>IF((SUM(C7:C9))=C11+C12,(SUM(C7:C9)),"Error")</f>
        <v>1468.4</v>
      </c>
      <c r="D10" s="107">
        <f>IF((SUM(D7:D9))=D11+D12,(SUM(D7:D9)),"Error")</f>
        <v>1539.5</v>
      </c>
      <c r="E10" s="107">
        <f>IF((SUM(E7:E9))=E11+E12,(SUM(E7:E9)),"Error")</f>
        <v>1480.9</v>
      </c>
      <c r="F10" s="107">
        <f>IF((SUM(F7:F9))=F11+F12,(SUM(F7:F9)),"Error")</f>
        <v>1462.8</v>
      </c>
      <c r="G10" s="107">
        <f>SUM(G7:G9)</f>
        <v>1462.8</v>
      </c>
      <c r="H10" s="107">
        <f aca="true" t="shared" si="0" ref="H10:N10">IF((SUM(H7:H9))=H11+H12,(SUM(H7:H9)),"Error")</f>
        <v>1297.5</v>
      </c>
      <c r="I10" s="107">
        <f t="shared" si="0"/>
        <v>1320.5</v>
      </c>
      <c r="J10" s="107">
        <f t="shared" si="0"/>
        <v>1283.4</v>
      </c>
      <c r="K10" s="107">
        <f t="shared" si="0"/>
        <v>1106.1</v>
      </c>
      <c r="L10" s="107">
        <f t="shared" si="0"/>
        <v>1106.1</v>
      </c>
      <c r="M10" s="107">
        <f t="shared" si="0"/>
        <v>1121.7</v>
      </c>
      <c r="N10" s="107">
        <f t="shared" si="0"/>
        <v>1175.2</v>
      </c>
      <c r="O10" s="107">
        <f aca="true" t="shared" si="1" ref="O10:T10">IF((SUM(O7:O9))=O11+O12,(SUM(O7:O9)),"Error")</f>
        <v>1225.3</v>
      </c>
      <c r="P10" s="107">
        <f t="shared" si="1"/>
        <v>1229</v>
      </c>
      <c r="Q10" s="107">
        <f t="shared" si="1"/>
        <v>1229</v>
      </c>
      <c r="R10" s="107">
        <f t="shared" si="1"/>
        <v>1270.9</v>
      </c>
      <c r="S10" s="107">
        <f t="shared" si="1"/>
        <v>1242.6</v>
      </c>
      <c r="T10" s="107">
        <f t="shared" si="1"/>
        <v>1251.2</v>
      </c>
      <c r="U10" s="107">
        <f aca="true" t="shared" si="2" ref="U10:AA10">IF((SUM(U7:U9))=U11+U12,(SUM(U7:U9)),"Error")</f>
        <v>1253</v>
      </c>
      <c r="V10" s="107">
        <f t="shared" si="2"/>
        <v>1253</v>
      </c>
      <c r="W10" s="107">
        <f t="shared" si="2"/>
        <v>1282.4</v>
      </c>
      <c r="X10" s="107">
        <f t="shared" si="2"/>
        <v>1233.3</v>
      </c>
      <c r="Y10" s="107">
        <f t="shared" si="2"/>
        <v>1196.8</v>
      </c>
      <c r="Z10" s="107">
        <f t="shared" si="2"/>
        <v>1229.5</v>
      </c>
      <c r="AA10" s="107">
        <f t="shared" si="2"/>
        <v>1229.5</v>
      </c>
    </row>
    <row r="11" spans="1:27" ht="17.25" customHeight="1">
      <c r="A11" s="7"/>
      <c r="B11" s="281" t="s">
        <v>131</v>
      </c>
      <c r="C11" s="283">
        <v>605.9</v>
      </c>
      <c r="D11" s="283">
        <v>647.6</v>
      </c>
      <c r="E11" s="283">
        <v>611.1</v>
      </c>
      <c r="F11" s="283">
        <v>586.9</v>
      </c>
      <c r="G11" s="279">
        <f>+F11</f>
        <v>586.9</v>
      </c>
      <c r="H11" s="283">
        <v>513</v>
      </c>
      <c r="I11" s="283">
        <v>522.4</v>
      </c>
      <c r="J11" s="283">
        <v>499.4</v>
      </c>
      <c r="K11" s="283">
        <v>416.1</v>
      </c>
      <c r="L11" s="279">
        <f>+K11</f>
        <v>416.1</v>
      </c>
      <c r="M11" s="279">
        <v>412.2</v>
      </c>
      <c r="N11" s="283">
        <v>420</v>
      </c>
      <c r="O11" s="283">
        <v>435.3</v>
      </c>
      <c r="P11" s="283">
        <v>422.3</v>
      </c>
      <c r="Q11" s="279">
        <f>+P11</f>
        <v>422.3</v>
      </c>
      <c r="R11" s="283">
        <v>438.4</v>
      </c>
      <c r="S11" s="283">
        <v>426.2</v>
      </c>
      <c r="T11" s="283">
        <v>430.7</v>
      </c>
      <c r="U11" s="283">
        <v>429.1</v>
      </c>
      <c r="V11" s="279">
        <f>+U11</f>
        <v>429.1</v>
      </c>
      <c r="W11" s="283">
        <v>443.6</v>
      </c>
      <c r="X11" s="283">
        <v>427.2</v>
      </c>
      <c r="Y11" s="283">
        <v>412.2</v>
      </c>
      <c r="Z11" s="283">
        <v>411.6</v>
      </c>
      <c r="AA11" s="279">
        <f>+Z11</f>
        <v>411.6</v>
      </c>
    </row>
    <row r="12" spans="1:27" ht="17.25" customHeight="1">
      <c r="A12" s="7"/>
      <c r="B12" s="282" t="s">
        <v>159</v>
      </c>
      <c r="C12" s="284">
        <v>862.5</v>
      </c>
      <c r="D12" s="284">
        <v>891.9</v>
      </c>
      <c r="E12" s="284">
        <v>869.8</v>
      </c>
      <c r="F12" s="284">
        <v>875.9</v>
      </c>
      <c r="G12" s="280">
        <f>+F12</f>
        <v>875.9</v>
      </c>
      <c r="H12" s="284">
        <v>784.5</v>
      </c>
      <c r="I12" s="284">
        <v>798.1</v>
      </c>
      <c r="J12" s="284">
        <v>784</v>
      </c>
      <c r="K12" s="284">
        <v>690</v>
      </c>
      <c r="L12" s="280">
        <f>+K12</f>
        <v>690</v>
      </c>
      <c r="M12" s="280">
        <v>709.5</v>
      </c>
      <c r="N12" s="284">
        <v>755.2</v>
      </c>
      <c r="O12" s="284">
        <v>790</v>
      </c>
      <c r="P12" s="284">
        <v>806.7</v>
      </c>
      <c r="Q12" s="280">
        <f>+P12</f>
        <v>806.7</v>
      </c>
      <c r="R12" s="284">
        <v>832.5</v>
      </c>
      <c r="S12" s="284">
        <v>816.4</v>
      </c>
      <c r="T12" s="284">
        <v>820.5</v>
      </c>
      <c r="U12" s="284">
        <v>823.9</v>
      </c>
      <c r="V12" s="280">
        <f>+U12</f>
        <v>823.9</v>
      </c>
      <c r="W12" s="284">
        <v>838.8</v>
      </c>
      <c r="X12" s="284">
        <v>806.1</v>
      </c>
      <c r="Y12" s="284">
        <v>784.6</v>
      </c>
      <c r="Z12" s="284">
        <v>817.9</v>
      </c>
      <c r="AA12" s="280">
        <f>+Z12</f>
        <v>817.9</v>
      </c>
    </row>
    <row r="13" spans="1:27" ht="17.25" customHeight="1">
      <c r="A13" s="7"/>
      <c r="B13" s="146" t="s">
        <v>111</v>
      </c>
      <c r="C13" s="139">
        <v>83.1</v>
      </c>
      <c r="D13" s="139">
        <v>89.5</v>
      </c>
      <c r="E13" s="139">
        <v>90.4</v>
      </c>
      <c r="F13" s="139">
        <v>91.9</v>
      </c>
      <c r="G13" s="110">
        <v>91.9</v>
      </c>
      <c r="H13" s="139">
        <v>83</v>
      </c>
      <c r="I13" s="139">
        <v>91.4</v>
      </c>
      <c r="J13" s="139">
        <v>86.6</v>
      </c>
      <c r="K13" s="139">
        <v>67.9</v>
      </c>
      <c r="L13" s="110">
        <f>+K13</f>
        <v>67.9</v>
      </c>
      <c r="M13" s="139">
        <v>67.5</v>
      </c>
      <c r="N13" s="139">
        <v>56.8</v>
      </c>
      <c r="O13" s="84">
        <v>0</v>
      </c>
      <c r="P13" s="84">
        <v>0</v>
      </c>
      <c r="Q13" s="84">
        <f>+P13</f>
        <v>0</v>
      </c>
      <c r="R13" s="84">
        <v>0</v>
      </c>
      <c r="S13" s="84">
        <v>0</v>
      </c>
      <c r="T13" s="84">
        <v>0</v>
      </c>
      <c r="U13" s="84">
        <v>0</v>
      </c>
      <c r="V13" s="84">
        <f>+U13</f>
        <v>0</v>
      </c>
      <c r="W13" s="84">
        <v>0</v>
      </c>
      <c r="X13" s="84">
        <v>0</v>
      </c>
      <c r="Y13" s="84">
        <v>0</v>
      </c>
      <c r="Z13" s="84">
        <v>0</v>
      </c>
      <c r="AA13" s="84">
        <f>+Z13</f>
        <v>0</v>
      </c>
    </row>
    <row r="14" spans="1:27" ht="17.25" customHeight="1" thickBot="1">
      <c r="A14" s="7"/>
      <c r="B14" s="23" t="s">
        <v>8</v>
      </c>
      <c r="C14" s="107">
        <f aca="true" t="shared" si="3" ref="C14:T14">+C10+C13</f>
        <v>1551.5</v>
      </c>
      <c r="D14" s="107">
        <f t="shared" si="3"/>
        <v>1629</v>
      </c>
      <c r="E14" s="107">
        <f t="shared" si="3"/>
        <v>1571.3</v>
      </c>
      <c r="F14" s="107">
        <f t="shared" si="3"/>
        <v>1554.7</v>
      </c>
      <c r="G14" s="107">
        <f t="shared" si="3"/>
        <v>1554.7</v>
      </c>
      <c r="H14" s="107">
        <f t="shared" si="3"/>
        <v>1380.5</v>
      </c>
      <c r="I14" s="107">
        <f t="shared" si="3"/>
        <v>1411.9</v>
      </c>
      <c r="J14" s="107">
        <f t="shared" si="3"/>
        <v>1370</v>
      </c>
      <c r="K14" s="107">
        <f t="shared" si="3"/>
        <v>1174</v>
      </c>
      <c r="L14" s="107">
        <f t="shared" si="3"/>
        <v>1174</v>
      </c>
      <c r="M14" s="107">
        <f t="shared" si="3"/>
        <v>1189.2</v>
      </c>
      <c r="N14" s="107">
        <f t="shared" si="3"/>
        <v>1232</v>
      </c>
      <c r="O14" s="107">
        <f t="shared" si="3"/>
        <v>1225.3</v>
      </c>
      <c r="P14" s="107">
        <f t="shared" si="3"/>
        <v>1229</v>
      </c>
      <c r="Q14" s="107">
        <f t="shared" si="3"/>
        <v>1229</v>
      </c>
      <c r="R14" s="107">
        <f t="shared" si="3"/>
        <v>1270.9</v>
      </c>
      <c r="S14" s="107">
        <f t="shared" si="3"/>
        <v>1242.6</v>
      </c>
      <c r="T14" s="107">
        <f t="shared" si="3"/>
        <v>1251.2</v>
      </c>
      <c r="U14" s="107">
        <f aca="true" t="shared" si="4" ref="U14:AA14">+U10+U13</f>
        <v>1253</v>
      </c>
      <c r="V14" s="107">
        <f t="shared" si="4"/>
        <v>1253</v>
      </c>
      <c r="W14" s="107">
        <f t="shared" si="4"/>
        <v>1282.4</v>
      </c>
      <c r="X14" s="107">
        <f t="shared" si="4"/>
        <v>1233.3</v>
      </c>
      <c r="Y14" s="107">
        <f t="shared" si="4"/>
        <v>1196.8</v>
      </c>
      <c r="Z14" s="107">
        <f>+Z10+Z13</f>
        <v>1229.5</v>
      </c>
      <c r="AA14" s="107">
        <f t="shared" si="4"/>
        <v>1229.5</v>
      </c>
    </row>
    <row r="15" spans="1:27" ht="17.25" customHeight="1">
      <c r="A15" s="7"/>
      <c r="B15" s="11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</row>
    <row r="16" spans="1:27" ht="17.25" customHeight="1">
      <c r="A16" s="7"/>
      <c r="B16" s="13" t="s">
        <v>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7.25" customHeight="1">
      <c r="A17" s="7"/>
      <c r="B17" s="14" t="s">
        <v>26</v>
      </c>
      <c r="C17" s="138">
        <v>18.4</v>
      </c>
      <c r="D17" s="138">
        <v>8.9</v>
      </c>
      <c r="E17" s="138">
        <v>12.1</v>
      </c>
      <c r="F17" s="138">
        <v>14.1</v>
      </c>
      <c r="G17" s="106">
        <v>53.5</v>
      </c>
      <c r="H17" s="138">
        <v>17.1</v>
      </c>
      <c r="I17" s="138">
        <v>17.4</v>
      </c>
      <c r="J17" s="138">
        <v>14.5</v>
      </c>
      <c r="K17" s="138">
        <v>1.9</v>
      </c>
      <c r="L17" s="106">
        <v>50.9</v>
      </c>
      <c r="M17" s="138">
        <v>11.4</v>
      </c>
      <c r="N17" s="138">
        <v>10.7</v>
      </c>
      <c r="O17" s="138">
        <v>13.1</v>
      </c>
      <c r="P17" s="138">
        <v>6.4</v>
      </c>
      <c r="Q17" s="106">
        <v>41.6</v>
      </c>
      <c r="R17" s="138">
        <v>18.6</v>
      </c>
      <c r="S17" s="138">
        <v>13.8</v>
      </c>
      <c r="T17" s="138">
        <v>12.6</v>
      </c>
      <c r="U17" s="138">
        <v>9.6</v>
      </c>
      <c r="V17" s="106">
        <f>SUM(R17:U17)</f>
        <v>54.6</v>
      </c>
      <c r="W17" s="138">
        <v>18</v>
      </c>
      <c r="X17" s="138">
        <v>11.5</v>
      </c>
      <c r="Y17" s="138">
        <v>7.4</v>
      </c>
      <c r="Z17" s="138">
        <v>7.6</v>
      </c>
      <c r="AA17" s="106">
        <f>SUM(W17:Z17)</f>
        <v>44.5</v>
      </c>
    </row>
    <row r="18" spans="1:27" ht="17.25" customHeight="1">
      <c r="A18" s="7"/>
      <c r="B18" s="14" t="s">
        <v>27</v>
      </c>
      <c r="C18" s="138">
        <v>30.8</v>
      </c>
      <c r="D18" s="138">
        <v>17.6</v>
      </c>
      <c r="E18" s="138">
        <v>-23.3</v>
      </c>
      <c r="F18" s="138">
        <v>-28.7</v>
      </c>
      <c r="G18" s="106">
        <f>SUM(C18:F18)</f>
        <v>-3.6</v>
      </c>
      <c r="H18" s="138">
        <v>-21.2</v>
      </c>
      <c r="I18" s="138">
        <v>-6.6</v>
      </c>
      <c r="J18" s="138">
        <v>-14.4</v>
      </c>
      <c r="K18" s="138">
        <v>-21.1</v>
      </c>
      <c r="L18" s="106">
        <f>SUM(H18:K18)</f>
        <v>-63.3</v>
      </c>
      <c r="M18" s="138">
        <v>-3.5</v>
      </c>
      <c r="N18" s="138">
        <v>-4.1</v>
      </c>
      <c r="O18" s="138">
        <v>3.9</v>
      </c>
      <c r="P18" s="138">
        <v>4.1</v>
      </c>
      <c r="Q18" s="106">
        <f>SUM(M18:P18)</f>
        <v>0.4</v>
      </c>
      <c r="R18" s="138">
        <v>11.2</v>
      </c>
      <c r="S18" s="138">
        <v>1.3</v>
      </c>
      <c r="T18" s="138">
        <v>3.6</v>
      </c>
      <c r="U18" s="138">
        <v>4.5</v>
      </c>
      <c r="V18" s="106">
        <f>SUM(R18:U18)</f>
        <v>20.6</v>
      </c>
      <c r="W18" s="138">
        <v>4.5</v>
      </c>
      <c r="X18" s="138">
        <v>4</v>
      </c>
      <c r="Y18" s="138">
        <v>0.2</v>
      </c>
      <c r="Z18" s="138">
        <v>-9.6</v>
      </c>
      <c r="AA18" s="106">
        <f>SUM(W18:Z18)</f>
        <v>-0.9</v>
      </c>
    </row>
    <row r="19" spans="1:27" ht="33.75" customHeight="1">
      <c r="A19" s="7"/>
      <c r="B19" s="147" t="s">
        <v>167</v>
      </c>
      <c r="C19" s="138">
        <v>-4.4</v>
      </c>
      <c r="D19" s="138">
        <v>-1.7</v>
      </c>
      <c r="E19" s="138">
        <v>-0.9</v>
      </c>
      <c r="F19" s="138">
        <v>0.3</v>
      </c>
      <c r="G19" s="106">
        <f>SUM(C19:F19)</f>
        <v>-6.7</v>
      </c>
      <c r="H19" s="138">
        <v>-1.1</v>
      </c>
      <c r="I19" s="138">
        <v>0.4</v>
      </c>
      <c r="J19" s="138">
        <v>3.5</v>
      </c>
      <c r="K19" s="138">
        <v>6.6</v>
      </c>
      <c r="L19" s="106">
        <f>SUM(H19:K19)</f>
        <v>9.4</v>
      </c>
      <c r="M19" s="138">
        <v>0.9</v>
      </c>
      <c r="N19" s="138">
        <v>-0.4</v>
      </c>
      <c r="O19" s="138">
        <v>-0.3</v>
      </c>
      <c r="P19" s="138">
        <v>2</v>
      </c>
      <c r="Q19" s="106">
        <f>SUM(M19:P19)</f>
        <v>2.2</v>
      </c>
      <c r="R19" s="138">
        <v>-3.8</v>
      </c>
      <c r="S19" s="138">
        <v>-0.6</v>
      </c>
      <c r="T19" s="138">
        <v>-1.6</v>
      </c>
      <c r="U19" s="138">
        <v>-0.2</v>
      </c>
      <c r="V19" s="106">
        <f>SUM(R19:U19)</f>
        <v>-6.2</v>
      </c>
      <c r="W19" s="138">
        <v>-3.4</v>
      </c>
      <c r="X19" s="138">
        <v>-1.2</v>
      </c>
      <c r="Y19" s="138">
        <v>-0.5</v>
      </c>
      <c r="Z19" s="138">
        <v>2.4</v>
      </c>
      <c r="AA19" s="106">
        <f>SUM(W19:Z19)</f>
        <v>-2.7</v>
      </c>
    </row>
    <row r="20" spans="1:27" ht="17.25" customHeight="1" thickBot="1">
      <c r="A20" s="7"/>
      <c r="B20" s="23" t="s">
        <v>8</v>
      </c>
      <c r="C20" s="107">
        <f aca="true" t="shared" si="5" ref="C20:J20">SUM(C17:C19)</f>
        <v>44.8</v>
      </c>
      <c r="D20" s="107">
        <f t="shared" si="5"/>
        <v>24.8</v>
      </c>
      <c r="E20" s="107">
        <f t="shared" si="5"/>
        <v>-12.1</v>
      </c>
      <c r="F20" s="107">
        <f t="shared" si="5"/>
        <v>-14.3</v>
      </c>
      <c r="G20" s="107">
        <f t="shared" si="5"/>
        <v>43.2</v>
      </c>
      <c r="H20" s="107">
        <f t="shared" si="5"/>
        <v>-5.2</v>
      </c>
      <c r="I20" s="107">
        <f t="shared" si="5"/>
        <v>11.2</v>
      </c>
      <c r="J20" s="107">
        <f t="shared" si="5"/>
        <v>3.6</v>
      </c>
      <c r="K20" s="107">
        <f>SUM(K17:K19)</f>
        <v>-12.6</v>
      </c>
      <c r="L20" s="107">
        <f>SUM(H20:K20)</f>
        <v>-3</v>
      </c>
      <c r="M20" s="107">
        <f>SUM(M17:M19)</f>
        <v>8.8</v>
      </c>
      <c r="N20" s="107">
        <f>SUM(N17:N19)</f>
        <v>6.2</v>
      </c>
      <c r="O20" s="107">
        <f>SUM(O17:O19)</f>
        <v>16.7</v>
      </c>
      <c r="P20" s="107">
        <f>SUM(P17:P19)</f>
        <v>12.5</v>
      </c>
      <c r="Q20" s="107">
        <f>SUM(M20:P20)</f>
        <v>44.2</v>
      </c>
      <c r="R20" s="107">
        <f>SUM(R17:R19)</f>
        <v>26</v>
      </c>
      <c r="S20" s="107">
        <f>SUM(S17:S19)</f>
        <v>14.5</v>
      </c>
      <c r="T20" s="107">
        <f>SUM(T17:T19)</f>
        <v>14.6</v>
      </c>
      <c r="U20" s="107">
        <f>SUM(U17:U19)</f>
        <v>13.9</v>
      </c>
      <c r="V20" s="107">
        <f>SUM(R20:U20)</f>
        <v>69</v>
      </c>
      <c r="W20" s="107">
        <f>SUM(W17:W19)</f>
        <v>19.1</v>
      </c>
      <c r="X20" s="107">
        <f>SUM(X17:X19)</f>
        <v>14.3</v>
      </c>
      <c r="Y20" s="107">
        <f>SUM(Y17:Y19)</f>
        <v>7.1</v>
      </c>
      <c r="Z20" s="107">
        <f>SUM(Z17:Z19)</f>
        <v>0.4</v>
      </c>
      <c r="AA20" s="107">
        <f>SUM(W20:Z20)</f>
        <v>40.9</v>
      </c>
    </row>
    <row r="21" spans="1:27" ht="18.75" customHeight="1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7.2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9.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7" ht="12" customHeight="1"/>
    <row r="36" ht="11.25" customHeight="1"/>
    <row r="51" ht="11.25" customHeight="1"/>
    <row r="59" ht="13.5" customHeight="1"/>
    <row r="75" ht="11.25" customHeight="1"/>
  </sheetData>
  <sheetProtection/>
  <mergeCells count="1">
    <mergeCell ref="B1:B2"/>
  </mergeCells>
  <conditionalFormatting sqref="C10:F10 H10:AA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80" zoomScaleNormal="80" zoomScalePageLayoutView="0" workbookViewId="0" topLeftCell="A1">
      <pane xSplit="2" ySplit="2" topLeftCell="G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"/>
    </sheetView>
  </sheetViews>
  <sheetFormatPr defaultColWidth="1.7109375" defaultRowHeight="17.25" customHeight="1" outlineLevelCol="1"/>
  <cols>
    <col min="1" max="1" width="2.7109375" style="1" customWidth="1"/>
    <col min="2" max="2" width="38.2812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7" width="11.57421875" style="1" customWidth="1"/>
    <col min="28" max="16384" width="1.7109375" style="1" customWidth="1"/>
  </cols>
  <sheetData>
    <row r="1" spans="1:27" ht="21.75" customHeight="1">
      <c r="A1" s="2"/>
      <c r="B1" s="423" t="s">
        <v>163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7.25" customHeight="1" thickTop="1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7.25" customHeight="1">
      <c r="A6" s="7"/>
      <c r="B6" s="13" t="s">
        <v>113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7.25" customHeight="1" thickBot="1">
      <c r="A7" s="7"/>
      <c r="B7" s="23" t="s">
        <v>14</v>
      </c>
      <c r="C7" s="120">
        <v>951</v>
      </c>
      <c r="D7" s="120">
        <v>1334</v>
      </c>
      <c r="E7" s="120">
        <v>822</v>
      </c>
      <c r="F7" s="120">
        <v>1675</v>
      </c>
      <c r="G7" s="47">
        <f>SUM(C7:F7)</f>
        <v>4782</v>
      </c>
      <c r="H7" s="120">
        <v>76</v>
      </c>
      <c r="I7" s="120">
        <v>307</v>
      </c>
      <c r="J7" s="120">
        <v>-339</v>
      </c>
      <c r="K7" s="120">
        <v>-2638</v>
      </c>
      <c r="L7" s="47">
        <f>SUM(H7:K7)</f>
        <v>-2594</v>
      </c>
      <c r="M7" s="120">
        <v>-1451</v>
      </c>
      <c r="N7" s="120">
        <v>-7</v>
      </c>
      <c r="O7" s="120">
        <v>953</v>
      </c>
      <c r="P7" s="120">
        <v>182</v>
      </c>
      <c r="Q7" s="47">
        <f>SUM(M7:P7)</f>
        <v>-323</v>
      </c>
      <c r="R7" s="120">
        <v>52</v>
      </c>
      <c r="S7" s="120">
        <v>119</v>
      </c>
      <c r="T7" s="120">
        <v>282</v>
      </c>
      <c r="U7" s="120">
        <v>308</v>
      </c>
      <c r="V7" s="47">
        <f aca="true" t="shared" si="0" ref="V7:V15">SUM(R7:U7)</f>
        <v>761</v>
      </c>
      <c r="W7" s="120">
        <v>343</v>
      </c>
      <c r="X7" s="120">
        <v>566</v>
      </c>
      <c r="Y7" s="120">
        <v>-128</v>
      </c>
      <c r="Z7" s="120">
        <v>15</v>
      </c>
      <c r="AA7" s="47">
        <f aca="true" t="shared" si="1" ref="AA7:AA15">SUM(W7:Z7)</f>
        <v>796</v>
      </c>
    </row>
    <row r="8" spans="1:27" s="20" customFormat="1" ht="17.25" customHeight="1" thickBot="1">
      <c r="A8" s="7"/>
      <c r="B8" s="25" t="s">
        <v>15</v>
      </c>
      <c r="C8" s="121">
        <v>0</v>
      </c>
      <c r="D8" s="121">
        <v>0</v>
      </c>
      <c r="E8" s="121">
        <v>0</v>
      </c>
      <c r="F8" s="121">
        <v>0</v>
      </c>
      <c r="G8" s="48">
        <f aca="true" t="shared" si="2" ref="G8:G18">SUM(C8:F8)</f>
        <v>0</v>
      </c>
      <c r="H8" s="121">
        <v>0</v>
      </c>
      <c r="I8" s="121">
        <v>0</v>
      </c>
      <c r="J8" s="121">
        <v>0</v>
      </c>
      <c r="K8" s="121">
        <v>0</v>
      </c>
      <c r="L8" s="48">
        <f aca="true" t="shared" si="3" ref="L8:L19">SUM(H8:K8)</f>
        <v>0</v>
      </c>
      <c r="M8" s="121">
        <v>0</v>
      </c>
      <c r="N8" s="121">
        <v>0</v>
      </c>
      <c r="O8" s="121">
        <v>0</v>
      </c>
      <c r="P8" s="121">
        <v>0</v>
      </c>
      <c r="Q8" s="48">
        <f aca="true" t="shared" si="4" ref="Q8:Q19">SUM(M8:P8)</f>
        <v>0</v>
      </c>
      <c r="R8" s="121">
        <v>0</v>
      </c>
      <c r="S8" s="121">
        <v>0</v>
      </c>
      <c r="T8" s="121">
        <v>0</v>
      </c>
      <c r="U8" s="121">
        <v>0</v>
      </c>
      <c r="V8" s="48">
        <f t="shared" si="0"/>
        <v>0</v>
      </c>
      <c r="W8" s="121">
        <v>0</v>
      </c>
      <c r="X8" s="121">
        <v>0</v>
      </c>
      <c r="Y8" s="121">
        <v>0</v>
      </c>
      <c r="Z8" s="121">
        <v>0</v>
      </c>
      <c r="AA8" s="48">
        <f t="shared" si="1"/>
        <v>0</v>
      </c>
    </row>
    <row r="9" spans="1:27" s="20" customFormat="1" ht="17.25" customHeight="1">
      <c r="A9" s="7"/>
      <c r="B9" s="21" t="s">
        <v>16</v>
      </c>
      <c r="C9" s="122">
        <v>44</v>
      </c>
      <c r="D9" s="122">
        <v>23</v>
      </c>
      <c r="E9" s="122">
        <v>38</v>
      </c>
      <c r="F9" s="122">
        <v>11</v>
      </c>
      <c r="G9" s="49">
        <f t="shared" si="2"/>
        <v>116</v>
      </c>
      <c r="H9" s="122">
        <v>19</v>
      </c>
      <c r="I9" s="122">
        <v>15</v>
      </c>
      <c r="J9" s="122">
        <v>10</v>
      </c>
      <c r="K9" s="122">
        <v>31</v>
      </c>
      <c r="L9" s="49">
        <f t="shared" si="3"/>
        <v>75</v>
      </c>
      <c r="M9" s="122">
        <v>12</v>
      </c>
      <c r="N9" s="122">
        <v>20</v>
      </c>
      <c r="O9" s="122">
        <v>15</v>
      </c>
      <c r="P9" s="122">
        <v>39</v>
      </c>
      <c r="Q9" s="49">
        <f t="shared" si="4"/>
        <v>86</v>
      </c>
      <c r="R9" s="122">
        <v>2</v>
      </c>
      <c r="S9" s="122">
        <v>-2</v>
      </c>
      <c r="T9" s="122">
        <v>28</v>
      </c>
      <c r="U9" s="122">
        <v>9</v>
      </c>
      <c r="V9" s="49">
        <f t="shared" si="0"/>
        <v>37</v>
      </c>
      <c r="W9" s="122">
        <v>4</v>
      </c>
      <c r="X9" s="122">
        <v>3</v>
      </c>
      <c r="Y9" s="122">
        <v>57</v>
      </c>
      <c r="Z9" s="122">
        <v>-2</v>
      </c>
      <c r="AA9" s="49">
        <f t="shared" si="1"/>
        <v>62</v>
      </c>
    </row>
    <row r="10" spans="1:27" s="20" customFormat="1" ht="17.25" customHeight="1">
      <c r="A10" s="7"/>
      <c r="B10" s="26" t="s">
        <v>17</v>
      </c>
      <c r="C10" s="123">
        <v>7</v>
      </c>
      <c r="D10" s="123">
        <v>10</v>
      </c>
      <c r="E10" s="123">
        <v>31</v>
      </c>
      <c r="F10" s="123">
        <v>18</v>
      </c>
      <c r="G10" s="50">
        <f t="shared" si="2"/>
        <v>66</v>
      </c>
      <c r="H10" s="123">
        <v>14</v>
      </c>
      <c r="I10" s="123">
        <v>22</v>
      </c>
      <c r="J10" s="123">
        <v>16</v>
      </c>
      <c r="K10" s="123">
        <v>18</v>
      </c>
      <c r="L10" s="50">
        <f t="shared" si="3"/>
        <v>70</v>
      </c>
      <c r="M10" s="123">
        <v>24</v>
      </c>
      <c r="N10" s="123">
        <v>30</v>
      </c>
      <c r="O10" s="123">
        <v>15</v>
      </c>
      <c r="P10" s="123">
        <v>28</v>
      </c>
      <c r="Q10" s="50">
        <f t="shared" si="4"/>
        <v>97</v>
      </c>
      <c r="R10" s="123">
        <v>9</v>
      </c>
      <c r="S10" s="123">
        <v>18</v>
      </c>
      <c r="T10" s="123">
        <v>6</v>
      </c>
      <c r="U10" s="123">
        <v>4</v>
      </c>
      <c r="V10" s="50">
        <f t="shared" si="0"/>
        <v>37</v>
      </c>
      <c r="W10" s="123">
        <v>-2</v>
      </c>
      <c r="X10" s="123">
        <v>9</v>
      </c>
      <c r="Y10" s="123">
        <v>7</v>
      </c>
      <c r="Z10" s="123">
        <v>8</v>
      </c>
      <c r="AA10" s="50">
        <f t="shared" si="1"/>
        <v>22</v>
      </c>
    </row>
    <row r="11" spans="1:27" s="20" customFormat="1" ht="17.25" customHeight="1">
      <c r="A11" s="7"/>
      <c r="B11" s="29" t="s">
        <v>18</v>
      </c>
      <c r="C11" s="124">
        <v>0</v>
      </c>
      <c r="D11" s="124">
        <v>0</v>
      </c>
      <c r="E11" s="124">
        <v>0</v>
      </c>
      <c r="F11" s="124">
        <v>0</v>
      </c>
      <c r="G11" s="51">
        <f t="shared" si="2"/>
        <v>0</v>
      </c>
      <c r="H11" s="124">
        <v>0</v>
      </c>
      <c r="I11" s="124">
        <v>0</v>
      </c>
      <c r="J11" s="124">
        <v>0</v>
      </c>
      <c r="K11" s="124">
        <v>0</v>
      </c>
      <c r="L11" s="51">
        <f t="shared" si="3"/>
        <v>0</v>
      </c>
      <c r="M11" s="124">
        <v>0</v>
      </c>
      <c r="N11" s="124">
        <v>0</v>
      </c>
      <c r="O11" s="124">
        <v>0</v>
      </c>
      <c r="P11" s="124">
        <v>0</v>
      </c>
      <c r="Q11" s="51">
        <f t="shared" si="4"/>
        <v>0</v>
      </c>
      <c r="R11" s="124">
        <v>0</v>
      </c>
      <c r="S11" s="124">
        <v>0</v>
      </c>
      <c r="T11" s="124">
        <v>0</v>
      </c>
      <c r="U11" s="124">
        <v>0</v>
      </c>
      <c r="V11" s="51">
        <f t="shared" si="0"/>
        <v>0</v>
      </c>
      <c r="W11" s="124">
        <v>0</v>
      </c>
      <c r="X11" s="124">
        <v>0</v>
      </c>
      <c r="Y11" s="124">
        <v>0</v>
      </c>
      <c r="Z11" s="124">
        <v>0</v>
      </c>
      <c r="AA11" s="51">
        <f t="shared" si="1"/>
        <v>0</v>
      </c>
    </row>
    <row r="12" spans="1:27" ht="17.25" customHeight="1">
      <c r="A12" s="7"/>
      <c r="B12" s="21" t="s">
        <v>19</v>
      </c>
      <c r="C12" s="53">
        <f>SUM(C10:C11)</f>
        <v>7</v>
      </c>
      <c r="D12" s="53">
        <f>SUM(D10:D11)</f>
        <v>10</v>
      </c>
      <c r="E12" s="53">
        <f>SUM(E10:E11)</f>
        <v>31</v>
      </c>
      <c r="F12" s="53">
        <f>SUM(F10:F11)</f>
        <v>18</v>
      </c>
      <c r="G12" s="53">
        <f t="shared" si="2"/>
        <v>66</v>
      </c>
      <c r="H12" s="53">
        <f>SUM(H10:H11)</f>
        <v>14</v>
      </c>
      <c r="I12" s="53">
        <f>SUM(I10:I11)</f>
        <v>22</v>
      </c>
      <c r="J12" s="53">
        <f>SUM(J10:J11)</f>
        <v>16</v>
      </c>
      <c r="K12" s="53">
        <f>SUM(K10:K11)</f>
        <v>18</v>
      </c>
      <c r="L12" s="53">
        <f t="shared" si="3"/>
        <v>70</v>
      </c>
      <c r="M12" s="53">
        <f>SUM(M10:M11)</f>
        <v>24</v>
      </c>
      <c r="N12" s="53">
        <f>SUM(N10:N11)</f>
        <v>30</v>
      </c>
      <c r="O12" s="53">
        <f>SUM(O10:O11)</f>
        <v>15</v>
      </c>
      <c r="P12" s="53">
        <f>SUM(P10:P11)</f>
        <v>28</v>
      </c>
      <c r="Q12" s="53">
        <f t="shared" si="4"/>
        <v>97</v>
      </c>
      <c r="R12" s="53">
        <f>SUM(R10:R11)</f>
        <v>9</v>
      </c>
      <c r="S12" s="53">
        <f>SUM(S10:S11)</f>
        <v>18</v>
      </c>
      <c r="T12" s="53">
        <f>SUM(T10:T11)</f>
        <v>6</v>
      </c>
      <c r="U12" s="53">
        <f>SUM(U10:U11)</f>
        <v>4</v>
      </c>
      <c r="V12" s="53">
        <f t="shared" si="0"/>
        <v>37</v>
      </c>
      <c r="W12" s="53">
        <f>SUM(W10:W11)</f>
        <v>-2</v>
      </c>
      <c r="X12" s="53">
        <f>SUM(X10:X11)</f>
        <v>9</v>
      </c>
      <c r="Y12" s="53">
        <f>SUM(Y10:Y11)</f>
        <v>7</v>
      </c>
      <c r="Z12" s="53">
        <f>SUM(Z10:Z11)</f>
        <v>8</v>
      </c>
      <c r="AA12" s="53">
        <f t="shared" si="1"/>
        <v>22</v>
      </c>
    </row>
    <row r="13" spans="1:27" ht="17.25" customHeight="1" thickBot="1">
      <c r="A13" s="7"/>
      <c r="B13" s="30" t="s">
        <v>20</v>
      </c>
      <c r="C13" s="47">
        <f>+C9+C12</f>
        <v>51</v>
      </c>
      <c r="D13" s="47">
        <f>+D9+D12</f>
        <v>33</v>
      </c>
      <c r="E13" s="47">
        <f>+E9+E12</f>
        <v>69</v>
      </c>
      <c r="F13" s="47">
        <f>+F9+F12</f>
        <v>29</v>
      </c>
      <c r="G13" s="47">
        <f t="shared" si="2"/>
        <v>182</v>
      </c>
      <c r="H13" s="47">
        <f>+H9+H12</f>
        <v>33</v>
      </c>
      <c r="I13" s="47">
        <f>+I9+I12</f>
        <v>37</v>
      </c>
      <c r="J13" s="47">
        <f>+J9+J12</f>
        <v>26</v>
      </c>
      <c r="K13" s="47">
        <f>+K9+K12</f>
        <v>49</v>
      </c>
      <c r="L13" s="47">
        <f t="shared" si="3"/>
        <v>145</v>
      </c>
      <c r="M13" s="47">
        <f>+M9+M12</f>
        <v>36</v>
      </c>
      <c r="N13" s="47">
        <f>+N9+N12</f>
        <v>50</v>
      </c>
      <c r="O13" s="47">
        <f>+O9+O12</f>
        <v>30</v>
      </c>
      <c r="P13" s="47">
        <f>+P9+P12</f>
        <v>67</v>
      </c>
      <c r="Q13" s="47">
        <f t="shared" si="4"/>
        <v>183</v>
      </c>
      <c r="R13" s="47">
        <f>+R9+R12</f>
        <v>11</v>
      </c>
      <c r="S13" s="47">
        <f>+S9+S12</f>
        <v>16</v>
      </c>
      <c r="T13" s="47">
        <f>+T9+T12</f>
        <v>34</v>
      </c>
      <c r="U13" s="47">
        <f>+U9+U12</f>
        <v>13</v>
      </c>
      <c r="V13" s="47">
        <f t="shared" si="0"/>
        <v>74</v>
      </c>
      <c r="W13" s="47">
        <f>+W9+W12</f>
        <v>2</v>
      </c>
      <c r="X13" s="47">
        <f>+X9+X12</f>
        <v>12</v>
      </c>
      <c r="Y13" s="47">
        <f>+Y9+Y12</f>
        <v>64</v>
      </c>
      <c r="Z13" s="47">
        <f>+Z9+Z12</f>
        <v>6</v>
      </c>
      <c r="AA13" s="47">
        <f t="shared" si="1"/>
        <v>84</v>
      </c>
    </row>
    <row r="14" spans="1:27" ht="29.25" customHeight="1" thickBot="1">
      <c r="A14" s="7"/>
      <c r="B14" s="142" t="s">
        <v>98</v>
      </c>
      <c r="C14" s="48">
        <f>+C7-C8-C13</f>
        <v>900</v>
      </c>
      <c r="D14" s="48">
        <f>+D7-D8-D13</f>
        <v>1301</v>
      </c>
      <c r="E14" s="48">
        <f>+E7-E8-E13</f>
        <v>753</v>
      </c>
      <c r="F14" s="48">
        <f>+F7-F8-F13</f>
        <v>1646</v>
      </c>
      <c r="G14" s="48">
        <f t="shared" si="2"/>
        <v>4600</v>
      </c>
      <c r="H14" s="48">
        <f>+H7-H8-H13</f>
        <v>43</v>
      </c>
      <c r="I14" s="48">
        <f>+I7-I8-I13</f>
        <v>270</v>
      </c>
      <c r="J14" s="48">
        <f>+J7-J8-J13</f>
        <v>-365</v>
      </c>
      <c r="K14" s="48">
        <f>+K7-K8-K13</f>
        <v>-2687</v>
      </c>
      <c r="L14" s="48">
        <f t="shared" si="3"/>
        <v>-2739</v>
      </c>
      <c r="M14" s="48">
        <f>+M7-M8-M13</f>
        <v>-1487</v>
      </c>
      <c r="N14" s="48">
        <f>+N7-N8-N13</f>
        <v>-57</v>
      </c>
      <c r="O14" s="48">
        <f>+O7-O8-O13</f>
        <v>923</v>
      </c>
      <c r="P14" s="48">
        <f>+P7-P8-P13</f>
        <v>115</v>
      </c>
      <c r="Q14" s="48">
        <f t="shared" si="4"/>
        <v>-506</v>
      </c>
      <c r="R14" s="48">
        <f>+R7-R8-R13</f>
        <v>41</v>
      </c>
      <c r="S14" s="48">
        <f>+S7-S8-S13</f>
        <v>103</v>
      </c>
      <c r="T14" s="48">
        <f>+T7-T8-T13</f>
        <v>248</v>
      </c>
      <c r="U14" s="48">
        <f>+U7-U8-U13</f>
        <v>295</v>
      </c>
      <c r="V14" s="48">
        <f t="shared" si="0"/>
        <v>687</v>
      </c>
      <c r="W14" s="48">
        <f>+W7-W8-W13</f>
        <v>341</v>
      </c>
      <c r="X14" s="48">
        <f>+X7-X8-X13</f>
        <v>554</v>
      </c>
      <c r="Y14" s="48">
        <f>+Y7-Y8-Y13</f>
        <v>-192</v>
      </c>
      <c r="Z14" s="48">
        <f>+Z7-Z8-Z13</f>
        <v>9</v>
      </c>
      <c r="AA14" s="48">
        <f t="shared" si="1"/>
        <v>712</v>
      </c>
    </row>
    <row r="15" spans="1:27" s="20" customFormat="1" ht="17.25" customHeight="1">
      <c r="A15" s="7"/>
      <c r="B15" s="21" t="s">
        <v>21</v>
      </c>
      <c r="C15" s="122">
        <v>0</v>
      </c>
      <c r="D15" s="122">
        <v>0</v>
      </c>
      <c r="E15" s="122">
        <v>0</v>
      </c>
      <c r="F15" s="122">
        <v>0</v>
      </c>
      <c r="G15" s="49">
        <f t="shared" si="2"/>
        <v>0</v>
      </c>
      <c r="H15" s="122">
        <v>0</v>
      </c>
      <c r="I15" s="122">
        <v>0</v>
      </c>
      <c r="J15" s="122">
        <v>0</v>
      </c>
      <c r="K15" s="122">
        <v>0</v>
      </c>
      <c r="L15" s="49">
        <f t="shared" si="3"/>
        <v>0</v>
      </c>
      <c r="M15" s="122">
        <v>0</v>
      </c>
      <c r="N15" s="122">
        <v>0</v>
      </c>
      <c r="O15" s="122">
        <v>0</v>
      </c>
      <c r="P15" s="122">
        <v>0</v>
      </c>
      <c r="Q15" s="49">
        <f t="shared" si="4"/>
        <v>0</v>
      </c>
      <c r="R15" s="122">
        <v>0</v>
      </c>
      <c r="S15" s="122">
        <v>0</v>
      </c>
      <c r="T15" s="122">
        <v>0</v>
      </c>
      <c r="U15" s="122">
        <v>0</v>
      </c>
      <c r="V15" s="49">
        <f t="shared" si="0"/>
        <v>0</v>
      </c>
      <c r="W15" s="122">
        <v>0</v>
      </c>
      <c r="X15" s="122">
        <v>0</v>
      </c>
      <c r="Y15" s="122">
        <v>0</v>
      </c>
      <c r="Z15" s="122">
        <v>0</v>
      </c>
      <c r="AA15" s="49">
        <f t="shared" si="1"/>
        <v>0</v>
      </c>
    </row>
    <row r="16" spans="1:27" ht="26.25" thickBot="1">
      <c r="A16" s="7"/>
      <c r="B16" s="143" t="s">
        <v>99</v>
      </c>
      <c r="C16" s="47">
        <f aca="true" t="shared" si="5" ref="C16:N16">+C14-C15</f>
        <v>900</v>
      </c>
      <c r="D16" s="47">
        <f t="shared" si="5"/>
        <v>1301</v>
      </c>
      <c r="E16" s="47">
        <f t="shared" si="5"/>
        <v>753</v>
      </c>
      <c r="F16" s="47">
        <f t="shared" si="5"/>
        <v>1646</v>
      </c>
      <c r="G16" s="47">
        <f t="shared" si="5"/>
        <v>4600</v>
      </c>
      <c r="H16" s="47">
        <f t="shared" si="5"/>
        <v>43</v>
      </c>
      <c r="I16" s="47">
        <f t="shared" si="5"/>
        <v>270</v>
      </c>
      <c r="J16" s="47">
        <f t="shared" si="5"/>
        <v>-365</v>
      </c>
      <c r="K16" s="47">
        <f t="shared" si="5"/>
        <v>-2687</v>
      </c>
      <c r="L16" s="47">
        <f t="shared" si="5"/>
        <v>-2739</v>
      </c>
      <c r="M16" s="47">
        <f t="shared" si="5"/>
        <v>-1487</v>
      </c>
      <c r="N16" s="47">
        <f t="shared" si="5"/>
        <v>-57</v>
      </c>
      <c r="O16" s="47">
        <f aca="true" t="shared" si="6" ref="O16:T16">+O14-O15</f>
        <v>923</v>
      </c>
      <c r="P16" s="47">
        <f t="shared" si="6"/>
        <v>115</v>
      </c>
      <c r="Q16" s="47">
        <f t="shared" si="6"/>
        <v>-506</v>
      </c>
      <c r="R16" s="47">
        <f t="shared" si="6"/>
        <v>41</v>
      </c>
      <c r="S16" s="47">
        <f t="shared" si="6"/>
        <v>103</v>
      </c>
      <c r="T16" s="47">
        <f t="shared" si="6"/>
        <v>248</v>
      </c>
      <c r="U16" s="47">
        <f aca="true" t="shared" si="7" ref="U16:AA16">+U14-U15</f>
        <v>295</v>
      </c>
      <c r="V16" s="47">
        <f t="shared" si="7"/>
        <v>687</v>
      </c>
      <c r="W16" s="47">
        <f t="shared" si="7"/>
        <v>341</v>
      </c>
      <c r="X16" s="47">
        <f t="shared" si="7"/>
        <v>554</v>
      </c>
      <c r="Y16" s="47">
        <f t="shared" si="7"/>
        <v>-192</v>
      </c>
      <c r="Z16" s="47">
        <f t="shared" si="7"/>
        <v>9</v>
      </c>
      <c r="AA16" s="47">
        <f t="shared" si="7"/>
        <v>712</v>
      </c>
    </row>
    <row r="17" spans="1:27" s="20" customFormat="1" ht="17.25" customHeight="1">
      <c r="A17" s="7"/>
      <c r="B17" s="21" t="s">
        <v>22</v>
      </c>
      <c r="C17" s="119">
        <v>0</v>
      </c>
      <c r="D17" s="119">
        <v>0</v>
      </c>
      <c r="E17" s="119">
        <v>0</v>
      </c>
      <c r="F17" s="119">
        <v>0</v>
      </c>
      <c r="G17" s="53">
        <f t="shared" si="2"/>
        <v>0</v>
      </c>
      <c r="H17" s="119">
        <v>0</v>
      </c>
      <c r="I17" s="119">
        <v>0</v>
      </c>
      <c r="J17" s="119">
        <v>0</v>
      </c>
      <c r="K17" s="119">
        <v>0</v>
      </c>
      <c r="L17" s="53">
        <f t="shared" si="3"/>
        <v>0</v>
      </c>
      <c r="M17" s="119">
        <v>0</v>
      </c>
      <c r="N17" s="119">
        <v>0</v>
      </c>
      <c r="O17" s="119">
        <v>0</v>
      </c>
      <c r="P17" s="119">
        <v>0</v>
      </c>
      <c r="Q17" s="53">
        <f t="shared" si="4"/>
        <v>0</v>
      </c>
      <c r="R17" s="119">
        <v>0</v>
      </c>
      <c r="S17" s="119">
        <v>0</v>
      </c>
      <c r="T17" s="119">
        <v>0</v>
      </c>
      <c r="U17" s="119">
        <v>0</v>
      </c>
      <c r="V17" s="53">
        <f>SUM(R17:U17)</f>
        <v>0</v>
      </c>
      <c r="W17" s="119">
        <v>0</v>
      </c>
      <c r="X17" s="119">
        <v>0</v>
      </c>
      <c r="Y17" s="119">
        <v>0</v>
      </c>
      <c r="Z17" s="119">
        <v>0</v>
      </c>
      <c r="AA17" s="53">
        <f>SUM(W17:Z17)</f>
        <v>0</v>
      </c>
    </row>
    <row r="18" spans="1:27" s="20" customFormat="1" ht="17.25" customHeight="1">
      <c r="A18" s="7"/>
      <c r="B18" s="17" t="s">
        <v>23</v>
      </c>
      <c r="C18" s="132">
        <v>0</v>
      </c>
      <c r="D18" s="132">
        <v>0</v>
      </c>
      <c r="E18" s="132">
        <v>0</v>
      </c>
      <c r="F18" s="132">
        <v>0</v>
      </c>
      <c r="G18" s="56">
        <f t="shared" si="2"/>
        <v>0</v>
      </c>
      <c r="H18" s="132">
        <v>0</v>
      </c>
      <c r="I18" s="132">
        <v>0</v>
      </c>
      <c r="J18" s="132">
        <v>0</v>
      </c>
      <c r="K18" s="132">
        <v>0</v>
      </c>
      <c r="L18" s="56">
        <f t="shared" si="3"/>
        <v>0</v>
      </c>
      <c r="M18" s="132">
        <v>0</v>
      </c>
      <c r="N18" s="132">
        <v>0</v>
      </c>
      <c r="O18" s="132">
        <v>0</v>
      </c>
      <c r="P18" s="132">
        <v>0</v>
      </c>
      <c r="Q18" s="56">
        <f t="shared" si="4"/>
        <v>0</v>
      </c>
      <c r="R18" s="132">
        <v>0</v>
      </c>
      <c r="S18" s="132">
        <v>0</v>
      </c>
      <c r="T18" s="132">
        <v>0</v>
      </c>
      <c r="U18" s="132">
        <v>0</v>
      </c>
      <c r="V18" s="56">
        <f>SUM(R18:U18)</f>
        <v>0</v>
      </c>
      <c r="W18" s="132">
        <v>0</v>
      </c>
      <c r="X18" s="132">
        <v>0</v>
      </c>
      <c r="Y18" s="132">
        <v>0</v>
      </c>
      <c r="Z18" s="132">
        <v>0</v>
      </c>
      <c r="AA18" s="56">
        <f>SUM(W18:Z18)</f>
        <v>0</v>
      </c>
    </row>
    <row r="19" spans="1:27" s="20" customFormat="1" ht="17.25" customHeight="1" thickBot="1">
      <c r="A19" s="7"/>
      <c r="B19" s="30" t="s">
        <v>92</v>
      </c>
      <c r="C19" s="47">
        <f>SUM(C16:C18)</f>
        <v>900</v>
      </c>
      <c r="D19" s="47">
        <f>SUM(D16:D18)</f>
        <v>1301</v>
      </c>
      <c r="E19" s="47">
        <f>SUM(E16:E18)</f>
        <v>753</v>
      </c>
      <c r="F19" s="47">
        <f>SUM(F16:F18)</f>
        <v>1646</v>
      </c>
      <c r="G19" s="47">
        <f>SUM(C19:F19)</f>
        <v>4600</v>
      </c>
      <c r="H19" s="47">
        <f>SUM(H16:H18)</f>
        <v>43</v>
      </c>
      <c r="I19" s="47">
        <f>SUM(I16:I18)</f>
        <v>270</v>
      </c>
      <c r="J19" s="47">
        <f>SUM(J16:J18)</f>
        <v>-365</v>
      </c>
      <c r="K19" s="47">
        <f>SUM(K16:K18)</f>
        <v>-2687</v>
      </c>
      <c r="L19" s="47">
        <f t="shared" si="3"/>
        <v>-2739</v>
      </c>
      <c r="M19" s="47">
        <f>SUM(M16:M18)</f>
        <v>-1487</v>
      </c>
      <c r="N19" s="47">
        <f>SUM(N16:N18)</f>
        <v>-57</v>
      </c>
      <c r="O19" s="47">
        <f>SUM(O16:O18)</f>
        <v>923</v>
      </c>
      <c r="P19" s="47">
        <f>SUM(P16:P18)</f>
        <v>115</v>
      </c>
      <c r="Q19" s="47">
        <f t="shared" si="4"/>
        <v>-506</v>
      </c>
      <c r="R19" s="47">
        <f>SUM(R16:R18)</f>
        <v>41</v>
      </c>
      <c r="S19" s="47">
        <f>SUM(S16:S18)</f>
        <v>103</v>
      </c>
      <c r="T19" s="47">
        <f>SUM(T16:T18)</f>
        <v>248</v>
      </c>
      <c r="U19" s="47">
        <f>SUM(U16:U18)</f>
        <v>295</v>
      </c>
      <c r="V19" s="47">
        <f>SUM(R19:U19)</f>
        <v>687</v>
      </c>
      <c r="W19" s="47">
        <f>SUM(W16:W18)</f>
        <v>341</v>
      </c>
      <c r="X19" s="47">
        <f>SUM(X16:X18)</f>
        <v>554</v>
      </c>
      <c r="Y19" s="47">
        <f>SUM(Y16:Y18)</f>
        <v>-192</v>
      </c>
      <c r="Z19" s="47">
        <f>SUM(Z16:Z18)</f>
        <v>9</v>
      </c>
      <c r="AA19" s="47">
        <f>SUM(W19:Z19)</f>
        <v>712</v>
      </c>
    </row>
    <row r="20" spans="1:27" s="20" customFormat="1" ht="33" customHeight="1" thickBot="1">
      <c r="A20" s="7"/>
      <c r="B20" s="144" t="s">
        <v>157</v>
      </c>
      <c r="C20" s="152">
        <f aca="true" t="shared" si="8" ref="C20:T20">+C19</f>
        <v>900</v>
      </c>
      <c r="D20" s="152">
        <f t="shared" si="8"/>
        <v>1301</v>
      </c>
      <c r="E20" s="152">
        <f t="shared" si="8"/>
        <v>753</v>
      </c>
      <c r="F20" s="152">
        <f t="shared" si="8"/>
        <v>1646</v>
      </c>
      <c r="G20" s="152">
        <f t="shared" si="8"/>
        <v>4600</v>
      </c>
      <c r="H20" s="152">
        <f t="shared" si="8"/>
        <v>43</v>
      </c>
      <c r="I20" s="152">
        <f t="shared" si="8"/>
        <v>270</v>
      </c>
      <c r="J20" s="152">
        <f t="shared" si="8"/>
        <v>-365</v>
      </c>
      <c r="K20" s="152">
        <f t="shared" si="8"/>
        <v>-2687</v>
      </c>
      <c r="L20" s="152">
        <f t="shared" si="8"/>
        <v>-2739</v>
      </c>
      <c r="M20" s="152">
        <f t="shared" si="8"/>
        <v>-1487</v>
      </c>
      <c r="N20" s="152">
        <f t="shared" si="8"/>
        <v>-57</v>
      </c>
      <c r="O20" s="152">
        <f t="shared" si="8"/>
        <v>923</v>
      </c>
      <c r="P20" s="152">
        <f t="shared" si="8"/>
        <v>115</v>
      </c>
      <c r="Q20" s="152">
        <f t="shared" si="8"/>
        <v>-506</v>
      </c>
      <c r="R20" s="152">
        <f t="shared" si="8"/>
        <v>41</v>
      </c>
      <c r="S20" s="152">
        <f t="shared" si="8"/>
        <v>103</v>
      </c>
      <c r="T20" s="152">
        <f t="shared" si="8"/>
        <v>248</v>
      </c>
      <c r="U20" s="152">
        <f aca="true" t="shared" si="9" ref="U20:AA20">+U19</f>
        <v>295</v>
      </c>
      <c r="V20" s="152">
        <f t="shared" si="9"/>
        <v>687</v>
      </c>
      <c r="W20" s="152">
        <f t="shared" si="9"/>
        <v>341</v>
      </c>
      <c r="X20" s="152">
        <f t="shared" si="9"/>
        <v>554</v>
      </c>
      <c r="Y20" s="152">
        <f t="shared" si="9"/>
        <v>-192</v>
      </c>
      <c r="Z20" s="152">
        <f t="shared" si="9"/>
        <v>9</v>
      </c>
      <c r="AA20" s="152">
        <f t="shared" si="9"/>
        <v>712</v>
      </c>
    </row>
    <row r="21" spans="1:27" s="20" customFormat="1" ht="17.25" customHeight="1">
      <c r="A21" s="7"/>
      <c r="B21" s="21"/>
      <c r="C21" s="119"/>
      <c r="D21" s="119"/>
      <c r="E21" s="119"/>
      <c r="F21" s="119"/>
      <c r="G21" s="53"/>
      <c r="H21" s="119"/>
      <c r="I21" s="119"/>
      <c r="J21" s="119"/>
      <c r="K21" s="119"/>
      <c r="L21" s="53"/>
      <c r="M21" s="119"/>
      <c r="N21" s="119"/>
      <c r="O21" s="119"/>
      <c r="P21" s="119"/>
      <c r="Q21" s="53"/>
      <c r="R21" s="119"/>
      <c r="S21" s="119"/>
      <c r="T21" s="119"/>
      <c r="U21" s="119"/>
      <c r="V21" s="53"/>
      <c r="W21" s="119"/>
      <c r="X21" s="119"/>
      <c r="Y21" s="119"/>
      <c r="Z21" s="119"/>
      <c r="AA21" s="53"/>
    </row>
    <row r="22" spans="1:27" ht="17.2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A53"/>
  <sheetViews>
    <sheetView showGridLines="0" zoomScale="80" zoomScaleNormal="80" zoomScalePageLayoutView="0" workbookViewId="0" topLeftCell="A1">
      <pane xSplit="2" ySplit="2" topLeftCell="L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7" width="11.57421875" style="1" customWidth="1"/>
    <col min="28" max="16384" width="1.7109375" style="1" customWidth="1"/>
  </cols>
  <sheetData>
    <row r="1" spans="1:27" ht="21.75" customHeight="1">
      <c r="A1" s="2"/>
      <c r="B1" s="421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7.25" customHeight="1" thickTop="1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7.25" customHeight="1">
      <c r="A6" s="7"/>
      <c r="B6" s="13" t="s">
        <v>113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20" customFormat="1" ht="17.25" customHeight="1">
      <c r="A7" s="7"/>
      <c r="B7" s="14" t="s">
        <v>10</v>
      </c>
      <c r="C7" s="117">
        <v>2057</v>
      </c>
      <c r="D7" s="117">
        <v>2222</v>
      </c>
      <c r="E7" s="117">
        <v>1897</v>
      </c>
      <c r="F7" s="117">
        <v>2127</v>
      </c>
      <c r="G7" s="96">
        <f>SUM(C7:F7)</f>
        <v>8303</v>
      </c>
      <c r="H7" s="117">
        <v>2072</v>
      </c>
      <c r="I7" s="117">
        <v>1832</v>
      </c>
      <c r="J7" s="117">
        <v>1879</v>
      </c>
      <c r="K7" s="117">
        <v>2626</v>
      </c>
      <c r="L7" s="96">
        <f>SUM(H7:K7)</f>
        <v>8409</v>
      </c>
      <c r="M7" s="117">
        <v>1998</v>
      </c>
      <c r="N7" s="117">
        <v>1187</v>
      </c>
      <c r="O7" s="117">
        <v>1688</v>
      </c>
      <c r="P7" s="117">
        <v>1890</v>
      </c>
      <c r="Q7" s="96">
        <f>SUM(M7:P7)</f>
        <v>6763</v>
      </c>
      <c r="R7" s="117">
        <v>1898</v>
      </c>
      <c r="S7" s="117">
        <v>1207</v>
      </c>
      <c r="T7" s="117">
        <v>1699</v>
      </c>
      <c r="U7" s="117">
        <v>1670</v>
      </c>
      <c r="V7" s="96">
        <f>SUM(R7:U7)</f>
        <v>6474</v>
      </c>
      <c r="W7" s="117">
        <v>1732</v>
      </c>
      <c r="X7" s="117">
        <v>1378</v>
      </c>
      <c r="Y7" s="117">
        <v>1634</v>
      </c>
      <c r="Z7" s="117">
        <v>1661</v>
      </c>
      <c r="AA7" s="96">
        <f aca="true" t="shared" si="0" ref="AA7:AA28">SUM(W7:Z7)</f>
        <v>6405</v>
      </c>
    </row>
    <row r="8" spans="1:27" s="20" customFormat="1" ht="17.25" customHeight="1">
      <c r="A8" s="7"/>
      <c r="B8" s="17" t="s">
        <v>11</v>
      </c>
      <c r="C8" s="118">
        <v>4870</v>
      </c>
      <c r="D8" s="118">
        <v>5159</v>
      </c>
      <c r="E8" s="118">
        <v>4140</v>
      </c>
      <c r="F8" s="118">
        <v>4791</v>
      </c>
      <c r="G8" s="97">
        <f aca="true" t="shared" si="1" ref="G8:G23">SUM(C8:F8)</f>
        <v>18960</v>
      </c>
      <c r="H8" s="118">
        <v>3829</v>
      </c>
      <c r="I8" s="118">
        <v>4091</v>
      </c>
      <c r="J8" s="118">
        <v>3637</v>
      </c>
      <c r="K8" s="118">
        <v>3198</v>
      </c>
      <c r="L8" s="97">
        <f aca="true" t="shared" si="2" ref="L8:L23">SUM(H8:K8)</f>
        <v>14755</v>
      </c>
      <c r="M8" s="118">
        <v>2933</v>
      </c>
      <c r="N8" s="118">
        <v>3540</v>
      </c>
      <c r="O8" s="118">
        <v>3312</v>
      </c>
      <c r="P8" s="118">
        <v>3917</v>
      </c>
      <c r="Q8" s="97">
        <f aca="true" t="shared" si="3" ref="Q8:Q28">SUM(M8:P8)</f>
        <v>13702</v>
      </c>
      <c r="R8" s="118">
        <v>3420</v>
      </c>
      <c r="S8" s="118">
        <v>3604</v>
      </c>
      <c r="T8" s="118">
        <v>3271</v>
      </c>
      <c r="U8" s="118">
        <v>3836</v>
      </c>
      <c r="V8" s="97">
        <f aca="true" t="shared" si="4" ref="V8:V28">SUM(R8:U8)</f>
        <v>14131</v>
      </c>
      <c r="W8" s="118">
        <v>3679</v>
      </c>
      <c r="X8" s="118">
        <v>3469</v>
      </c>
      <c r="Y8" s="118">
        <v>3071</v>
      </c>
      <c r="Z8" s="118">
        <v>2765</v>
      </c>
      <c r="AA8" s="97">
        <f t="shared" si="0"/>
        <v>12984</v>
      </c>
    </row>
    <row r="9" spans="1:27" s="20" customFormat="1" ht="17.25" customHeight="1">
      <c r="A9" s="7"/>
      <c r="B9" s="17" t="s">
        <v>12</v>
      </c>
      <c r="C9" s="118">
        <v>3215</v>
      </c>
      <c r="D9" s="118">
        <v>3811</v>
      </c>
      <c r="E9" s="118">
        <v>-159</v>
      </c>
      <c r="F9" s="118">
        <v>-721</v>
      </c>
      <c r="G9" s="97">
        <f t="shared" si="1"/>
        <v>6146</v>
      </c>
      <c r="H9" s="118">
        <v>-1777</v>
      </c>
      <c r="I9" s="118">
        <v>890</v>
      </c>
      <c r="J9" s="118">
        <v>-2251</v>
      </c>
      <c r="K9" s="118">
        <v>-6715</v>
      </c>
      <c r="L9" s="97">
        <f t="shared" si="2"/>
        <v>-9853</v>
      </c>
      <c r="M9" s="118">
        <v>4899</v>
      </c>
      <c r="N9" s="118">
        <v>3214</v>
      </c>
      <c r="O9" s="118">
        <v>3489</v>
      </c>
      <c r="P9" s="118">
        <v>525</v>
      </c>
      <c r="Q9" s="97">
        <f t="shared" si="3"/>
        <v>12127</v>
      </c>
      <c r="R9" s="118">
        <v>3453</v>
      </c>
      <c r="S9" s="118">
        <v>3629</v>
      </c>
      <c r="T9" s="118">
        <v>938</v>
      </c>
      <c r="U9" s="118">
        <v>1308</v>
      </c>
      <c r="V9" s="97">
        <f t="shared" si="4"/>
        <v>9328</v>
      </c>
      <c r="W9" s="118">
        <v>2004</v>
      </c>
      <c r="X9" s="118">
        <v>1127</v>
      </c>
      <c r="Y9" s="118">
        <v>1826</v>
      </c>
      <c r="Z9" s="118">
        <v>-36</v>
      </c>
      <c r="AA9" s="97">
        <f t="shared" si="0"/>
        <v>4921</v>
      </c>
    </row>
    <row r="10" spans="1:27" s="20" customFormat="1" ht="17.25" customHeight="1">
      <c r="A10" s="7"/>
      <c r="B10" s="21" t="s">
        <v>13</v>
      </c>
      <c r="C10" s="119">
        <v>400</v>
      </c>
      <c r="D10" s="119">
        <v>399</v>
      </c>
      <c r="E10" s="119">
        <v>70</v>
      </c>
      <c r="F10" s="119">
        <v>261</v>
      </c>
      <c r="G10" s="98">
        <f t="shared" si="1"/>
        <v>1130</v>
      </c>
      <c r="H10" s="119">
        <v>-1198</v>
      </c>
      <c r="I10" s="119">
        <v>930</v>
      </c>
      <c r="J10" s="119">
        <v>-242</v>
      </c>
      <c r="K10" s="119">
        <v>-939</v>
      </c>
      <c r="L10" s="98">
        <f t="shared" si="2"/>
        <v>-1449</v>
      </c>
      <c r="M10" s="119">
        <v>-273</v>
      </c>
      <c r="N10" s="119">
        <v>669</v>
      </c>
      <c r="O10" s="119">
        <v>428</v>
      </c>
      <c r="P10" s="119">
        <v>201</v>
      </c>
      <c r="Q10" s="98">
        <f t="shared" si="3"/>
        <v>1025</v>
      </c>
      <c r="R10" s="119">
        <v>190</v>
      </c>
      <c r="S10" s="119">
        <v>-20</v>
      </c>
      <c r="T10" s="119">
        <v>376</v>
      </c>
      <c r="U10" s="119">
        <v>146</v>
      </c>
      <c r="V10" s="98">
        <f t="shared" si="4"/>
        <v>692</v>
      </c>
      <c r="W10" s="119">
        <v>398</v>
      </c>
      <c r="X10" s="119">
        <v>352</v>
      </c>
      <c r="Y10" s="119">
        <v>286</v>
      </c>
      <c r="Z10" s="119">
        <v>83</v>
      </c>
      <c r="AA10" s="98">
        <f t="shared" si="0"/>
        <v>1119</v>
      </c>
    </row>
    <row r="11" spans="1:27" s="20" customFormat="1" ht="17.25" customHeight="1" thickBot="1">
      <c r="A11" s="7"/>
      <c r="B11" s="23" t="s">
        <v>14</v>
      </c>
      <c r="C11" s="99">
        <f>SUM(C7:C10)</f>
        <v>10542</v>
      </c>
      <c r="D11" s="99">
        <f>SUM(D7:D10)</f>
        <v>11591</v>
      </c>
      <c r="E11" s="99">
        <f>SUM(E7:E10)</f>
        <v>5948</v>
      </c>
      <c r="F11" s="99">
        <f>SUM(F7:F10)</f>
        <v>6458</v>
      </c>
      <c r="G11" s="99">
        <f t="shared" si="1"/>
        <v>34539</v>
      </c>
      <c r="H11" s="99">
        <f>SUM(H7:H10)</f>
        <v>2926</v>
      </c>
      <c r="I11" s="99">
        <f>SUM(I7:I10)</f>
        <v>7743</v>
      </c>
      <c r="J11" s="99">
        <f>SUM(J7:J10)</f>
        <v>3023</v>
      </c>
      <c r="K11" s="99">
        <f>SUM(K7:K10)</f>
        <v>-1830</v>
      </c>
      <c r="L11" s="99">
        <f t="shared" si="2"/>
        <v>11862</v>
      </c>
      <c r="M11" s="99">
        <f>SUM(M7:M10)</f>
        <v>9557</v>
      </c>
      <c r="N11" s="99">
        <f>SUM(N7:N10)</f>
        <v>8610</v>
      </c>
      <c r="O11" s="99">
        <f>SUM(O7:O10)</f>
        <v>8917</v>
      </c>
      <c r="P11" s="99">
        <f>SUM(P7:P10)</f>
        <v>6533</v>
      </c>
      <c r="Q11" s="99">
        <f t="shared" si="3"/>
        <v>33617</v>
      </c>
      <c r="R11" s="99">
        <f>SUM(R7:R10)</f>
        <v>8961</v>
      </c>
      <c r="S11" s="99">
        <f>SUM(S7:S10)</f>
        <v>8420</v>
      </c>
      <c r="T11" s="99">
        <f>SUM(T7:T10)</f>
        <v>6284</v>
      </c>
      <c r="U11" s="99">
        <f>SUM(U7:U10)</f>
        <v>6960</v>
      </c>
      <c r="V11" s="99">
        <f t="shared" si="4"/>
        <v>30625</v>
      </c>
      <c r="W11" s="99">
        <f>SUM(W7:W10)</f>
        <v>7813</v>
      </c>
      <c r="X11" s="99">
        <f>SUM(X7:X10)</f>
        <v>6326</v>
      </c>
      <c r="Y11" s="99">
        <f>SUM(Y7:Y10)</f>
        <v>6817</v>
      </c>
      <c r="Z11" s="99">
        <f>SUM(Z7:Z10)</f>
        <v>4473</v>
      </c>
      <c r="AA11" s="99">
        <f t="shared" si="0"/>
        <v>25429</v>
      </c>
    </row>
    <row r="12" spans="1:27" ht="17.25" customHeight="1" thickBot="1">
      <c r="A12" s="7"/>
      <c r="B12" s="25" t="s">
        <v>15</v>
      </c>
      <c r="C12" s="121">
        <v>53</v>
      </c>
      <c r="D12" s="121">
        <v>-20</v>
      </c>
      <c r="E12" s="121">
        <v>4</v>
      </c>
      <c r="F12" s="121">
        <v>203</v>
      </c>
      <c r="G12" s="100">
        <f t="shared" si="1"/>
        <v>240</v>
      </c>
      <c r="H12" s="121">
        <v>151</v>
      </c>
      <c r="I12" s="121">
        <v>45</v>
      </c>
      <c r="J12" s="121">
        <v>131</v>
      </c>
      <c r="K12" s="121">
        <v>486</v>
      </c>
      <c r="L12" s="100">
        <f t="shared" si="2"/>
        <v>813</v>
      </c>
      <c r="M12" s="121">
        <v>183</v>
      </c>
      <c r="N12" s="121">
        <v>310</v>
      </c>
      <c r="O12" s="121">
        <v>53</v>
      </c>
      <c r="P12" s="121">
        <v>-40</v>
      </c>
      <c r="Q12" s="100">
        <f t="shared" si="3"/>
        <v>506</v>
      </c>
      <c r="R12" s="121">
        <v>-50</v>
      </c>
      <c r="S12" s="121">
        <v>20</v>
      </c>
      <c r="T12" s="121">
        <v>-26</v>
      </c>
      <c r="U12" s="121">
        <v>-23</v>
      </c>
      <c r="V12" s="100">
        <f t="shared" si="4"/>
        <v>-79</v>
      </c>
      <c r="W12" s="121">
        <v>-7</v>
      </c>
      <c r="X12" s="121">
        <v>13</v>
      </c>
      <c r="Y12" s="121">
        <v>84</v>
      </c>
      <c r="Z12" s="121">
        <v>97</v>
      </c>
      <c r="AA12" s="100">
        <f t="shared" si="0"/>
        <v>187</v>
      </c>
    </row>
    <row r="13" spans="1:27" ht="17.25" customHeight="1">
      <c r="A13" s="7"/>
      <c r="B13" s="21" t="s">
        <v>16</v>
      </c>
      <c r="C13" s="122">
        <v>4877</v>
      </c>
      <c r="D13" s="122">
        <v>5357</v>
      </c>
      <c r="E13" s="122">
        <v>2323</v>
      </c>
      <c r="F13" s="122">
        <v>3425</v>
      </c>
      <c r="G13" s="101">
        <f t="shared" si="1"/>
        <v>15982</v>
      </c>
      <c r="H13" s="122">
        <v>3213</v>
      </c>
      <c r="I13" s="122">
        <v>4029</v>
      </c>
      <c r="J13" s="122">
        <v>2941</v>
      </c>
      <c r="K13" s="122">
        <v>2996</v>
      </c>
      <c r="L13" s="101">
        <f t="shared" si="2"/>
        <v>13179</v>
      </c>
      <c r="M13" s="122">
        <v>4328</v>
      </c>
      <c r="N13" s="122">
        <v>4345</v>
      </c>
      <c r="O13" s="122">
        <v>3826</v>
      </c>
      <c r="P13" s="122">
        <v>2428</v>
      </c>
      <c r="Q13" s="101">
        <f t="shared" si="3"/>
        <v>14927</v>
      </c>
      <c r="R13" s="122">
        <v>3891</v>
      </c>
      <c r="S13" s="122">
        <v>3982</v>
      </c>
      <c r="T13" s="122">
        <v>3327</v>
      </c>
      <c r="U13" s="122">
        <v>3362</v>
      </c>
      <c r="V13" s="101">
        <f t="shared" si="4"/>
        <v>14562</v>
      </c>
      <c r="W13" s="122">
        <v>4025</v>
      </c>
      <c r="X13" s="122">
        <v>3093</v>
      </c>
      <c r="Y13" s="122">
        <v>3010</v>
      </c>
      <c r="Z13" s="122">
        <v>3023</v>
      </c>
      <c r="AA13" s="101">
        <f t="shared" si="0"/>
        <v>13151</v>
      </c>
    </row>
    <row r="14" spans="1:27" ht="17.25" customHeight="1">
      <c r="A14" s="7"/>
      <c r="B14" s="26" t="s">
        <v>17</v>
      </c>
      <c r="C14" s="123">
        <v>1504</v>
      </c>
      <c r="D14" s="123">
        <v>1583</v>
      </c>
      <c r="E14" s="123">
        <v>1684</v>
      </c>
      <c r="F14" s="123">
        <v>1996</v>
      </c>
      <c r="G14" s="102">
        <f t="shared" si="1"/>
        <v>6767</v>
      </c>
      <c r="H14" s="123">
        <v>1555</v>
      </c>
      <c r="I14" s="123">
        <v>1515</v>
      </c>
      <c r="J14" s="123">
        <v>1914</v>
      </c>
      <c r="K14" s="123">
        <v>2755</v>
      </c>
      <c r="L14" s="102">
        <f t="shared" si="2"/>
        <v>7739</v>
      </c>
      <c r="M14" s="123">
        <v>1525</v>
      </c>
      <c r="N14" s="123">
        <v>1889</v>
      </c>
      <c r="O14" s="123">
        <v>1920</v>
      </c>
      <c r="P14" s="123">
        <v>2270</v>
      </c>
      <c r="Q14" s="102">
        <f t="shared" si="3"/>
        <v>7604</v>
      </c>
      <c r="R14" s="123">
        <v>1666</v>
      </c>
      <c r="S14" s="123">
        <v>2043</v>
      </c>
      <c r="T14" s="123">
        <v>1746</v>
      </c>
      <c r="U14" s="123">
        <v>1739</v>
      </c>
      <c r="V14" s="102">
        <f t="shared" si="4"/>
        <v>7194</v>
      </c>
      <c r="W14" s="123">
        <v>1634</v>
      </c>
      <c r="X14" s="123">
        <v>1643</v>
      </c>
      <c r="Y14" s="123">
        <v>2202</v>
      </c>
      <c r="Z14" s="123">
        <v>1871</v>
      </c>
      <c r="AA14" s="102">
        <f t="shared" si="0"/>
        <v>7350</v>
      </c>
    </row>
    <row r="15" spans="1:27" s="20" customFormat="1" ht="17.25" customHeight="1">
      <c r="A15" s="7"/>
      <c r="B15" s="29" t="s">
        <v>18</v>
      </c>
      <c r="C15" s="124">
        <v>560</v>
      </c>
      <c r="D15" s="124">
        <v>585</v>
      </c>
      <c r="E15" s="124">
        <v>620</v>
      </c>
      <c r="F15" s="124">
        <v>645</v>
      </c>
      <c r="G15" s="103">
        <f t="shared" si="1"/>
        <v>2410</v>
      </c>
      <c r="H15" s="124">
        <v>588</v>
      </c>
      <c r="I15" s="124">
        <v>575</v>
      </c>
      <c r="J15" s="124">
        <v>538</v>
      </c>
      <c r="K15" s="124">
        <v>593</v>
      </c>
      <c r="L15" s="103">
        <f t="shared" si="2"/>
        <v>2294</v>
      </c>
      <c r="M15" s="124">
        <v>467</v>
      </c>
      <c r="N15" s="124">
        <v>502</v>
      </c>
      <c r="O15" s="124">
        <v>498</v>
      </c>
      <c r="P15" s="124">
        <v>530</v>
      </c>
      <c r="Q15" s="103">
        <f t="shared" si="3"/>
        <v>1997</v>
      </c>
      <c r="R15" s="124">
        <v>520</v>
      </c>
      <c r="S15" s="124">
        <v>569</v>
      </c>
      <c r="T15" s="124">
        <v>484</v>
      </c>
      <c r="U15" s="124">
        <v>575</v>
      </c>
      <c r="V15" s="103">
        <f t="shared" si="4"/>
        <v>2148</v>
      </c>
      <c r="W15" s="124">
        <v>536</v>
      </c>
      <c r="X15" s="124">
        <v>491</v>
      </c>
      <c r="Y15" s="124">
        <v>485</v>
      </c>
      <c r="Z15" s="124">
        <v>480</v>
      </c>
      <c r="AA15" s="103">
        <f t="shared" si="0"/>
        <v>1992</v>
      </c>
    </row>
    <row r="16" spans="1:27" ht="17.25" customHeight="1">
      <c r="A16" s="7"/>
      <c r="B16" s="21" t="s">
        <v>19</v>
      </c>
      <c r="C16" s="104">
        <f>SUM(C14:C15)</f>
        <v>2064</v>
      </c>
      <c r="D16" s="104">
        <f>SUM(D14:D15)</f>
        <v>2168</v>
      </c>
      <c r="E16" s="104">
        <f>SUM(E14:E15)</f>
        <v>2304</v>
      </c>
      <c r="F16" s="104">
        <f>SUM(F14:F15)</f>
        <v>2641</v>
      </c>
      <c r="G16" s="104">
        <f t="shared" si="1"/>
        <v>9177</v>
      </c>
      <c r="H16" s="104">
        <f>SUM(H14:H15)</f>
        <v>2143</v>
      </c>
      <c r="I16" s="104">
        <f>SUM(I14:I15)</f>
        <v>2090</v>
      </c>
      <c r="J16" s="104">
        <f>SUM(J14:J15)</f>
        <v>2452</v>
      </c>
      <c r="K16" s="104">
        <f>SUM(K14:K15)</f>
        <v>3348</v>
      </c>
      <c r="L16" s="104">
        <f t="shared" si="2"/>
        <v>10033</v>
      </c>
      <c r="M16" s="104">
        <f>SUM(M14:M15)</f>
        <v>1992</v>
      </c>
      <c r="N16" s="104">
        <f>SUM(N14:N15)</f>
        <v>2391</v>
      </c>
      <c r="O16" s="104">
        <f>SUM(O14:O15)</f>
        <v>2418</v>
      </c>
      <c r="P16" s="104">
        <f>SUM(P14:P15)</f>
        <v>2800</v>
      </c>
      <c r="Q16" s="104">
        <f t="shared" si="3"/>
        <v>9601</v>
      </c>
      <c r="R16" s="104">
        <f>SUM(R14:R15)</f>
        <v>2186</v>
      </c>
      <c r="S16" s="104">
        <f>SUM(S14:S15)</f>
        <v>2612</v>
      </c>
      <c r="T16" s="104">
        <f>SUM(T14:T15)</f>
        <v>2230</v>
      </c>
      <c r="U16" s="104">
        <f>SUM(U14:U15)</f>
        <v>2314</v>
      </c>
      <c r="V16" s="104">
        <f t="shared" si="4"/>
        <v>9342</v>
      </c>
      <c r="W16" s="104">
        <v>2170</v>
      </c>
      <c r="X16" s="104">
        <f>SUM(X14:X15)</f>
        <v>2134</v>
      </c>
      <c r="Y16" s="104">
        <f>SUM(Y14:Y15)</f>
        <v>2687</v>
      </c>
      <c r="Z16" s="104">
        <f>SUM(Z14:Z15)</f>
        <v>2351</v>
      </c>
      <c r="AA16" s="104">
        <f t="shared" si="0"/>
        <v>9342</v>
      </c>
    </row>
    <row r="17" spans="1:27" ht="17.25" customHeight="1" thickBot="1">
      <c r="A17" s="7"/>
      <c r="B17" s="30" t="s">
        <v>20</v>
      </c>
      <c r="C17" s="99">
        <f>+C13+C16</f>
        <v>6941</v>
      </c>
      <c r="D17" s="99">
        <f>+D13+D16</f>
        <v>7525</v>
      </c>
      <c r="E17" s="99">
        <f>+E13+E16</f>
        <v>4627</v>
      </c>
      <c r="F17" s="99">
        <f>+F13+F16</f>
        <v>6066</v>
      </c>
      <c r="G17" s="99">
        <f t="shared" si="1"/>
        <v>25159</v>
      </c>
      <c r="H17" s="99">
        <f>+H13+H16</f>
        <v>5356</v>
      </c>
      <c r="I17" s="99">
        <f>+I13+I16</f>
        <v>6119</v>
      </c>
      <c r="J17" s="99">
        <f>+J13+J16</f>
        <v>5393</v>
      </c>
      <c r="K17" s="99">
        <f>+K13+K16</f>
        <v>6344</v>
      </c>
      <c r="L17" s="99">
        <f>SUM(H17:K17)</f>
        <v>23212</v>
      </c>
      <c r="M17" s="99">
        <f>+M13+M16</f>
        <v>6320</v>
      </c>
      <c r="N17" s="99">
        <f>+N13+N16</f>
        <v>6736</v>
      </c>
      <c r="O17" s="99">
        <f>+O13+O16</f>
        <v>6244</v>
      </c>
      <c r="P17" s="99">
        <f>+P13+P16</f>
        <v>5228</v>
      </c>
      <c r="Q17" s="99">
        <f t="shared" si="3"/>
        <v>24528</v>
      </c>
      <c r="R17" s="99">
        <f>+R13+R16</f>
        <v>6077</v>
      </c>
      <c r="S17" s="99">
        <f>+S13+S16</f>
        <v>6594</v>
      </c>
      <c r="T17" s="99">
        <f>+T13+T16</f>
        <v>5557</v>
      </c>
      <c r="U17" s="99">
        <f>+U13+U16</f>
        <v>5676</v>
      </c>
      <c r="V17" s="99">
        <f t="shared" si="4"/>
        <v>23904</v>
      </c>
      <c r="W17" s="99">
        <f>+W13+W16</f>
        <v>6195</v>
      </c>
      <c r="X17" s="99">
        <f>+X13+X16</f>
        <v>5227</v>
      </c>
      <c r="Y17" s="99">
        <f>+Y13+Y16</f>
        <v>5697</v>
      </c>
      <c r="Z17" s="99">
        <f>+Z13+Z16</f>
        <v>5374</v>
      </c>
      <c r="AA17" s="99">
        <f t="shared" si="0"/>
        <v>22493</v>
      </c>
    </row>
    <row r="18" spans="1:27" ht="26.25" thickBot="1">
      <c r="A18" s="7"/>
      <c r="B18" s="142" t="s">
        <v>98</v>
      </c>
      <c r="C18" s="100">
        <f>+C11-C12-C17</f>
        <v>3548</v>
      </c>
      <c r="D18" s="100">
        <f>+D11-D12-D17</f>
        <v>4086</v>
      </c>
      <c r="E18" s="100">
        <f>+E11-E12-E17</f>
        <v>1317</v>
      </c>
      <c r="F18" s="100">
        <f>+F11-F12-F17</f>
        <v>189</v>
      </c>
      <c r="G18" s="100">
        <f t="shared" si="1"/>
        <v>9140</v>
      </c>
      <c r="H18" s="100">
        <f>+H11-H12-H17</f>
        <v>-2581</v>
      </c>
      <c r="I18" s="100">
        <f>+I11-I12-I17</f>
        <v>1579</v>
      </c>
      <c r="J18" s="100">
        <f>+J11-J12-J17</f>
        <v>-2501</v>
      </c>
      <c r="K18" s="100">
        <f>+K11-K12-K17</f>
        <v>-8660</v>
      </c>
      <c r="L18" s="100">
        <f t="shared" si="2"/>
        <v>-12163</v>
      </c>
      <c r="M18" s="100">
        <f>+M11-M12-M17</f>
        <v>3054</v>
      </c>
      <c r="N18" s="100">
        <f>+N11-N12-N17</f>
        <v>1564</v>
      </c>
      <c r="O18" s="100">
        <f>+O11-O12-O17</f>
        <v>2620</v>
      </c>
      <c r="P18" s="100">
        <f>+P11-P12-P17</f>
        <v>1345</v>
      </c>
      <c r="Q18" s="100">
        <f t="shared" si="3"/>
        <v>8583</v>
      </c>
      <c r="R18" s="100">
        <f>+R11-R12-R17</f>
        <v>2934</v>
      </c>
      <c r="S18" s="100">
        <f>+S11-S12-S17</f>
        <v>1806</v>
      </c>
      <c r="T18" s="100">
        <f>+T11-T12-T17</f>
        <v>753</v>
      </c>
      <c r="U18" s="100">
        <f>+U11-U12-U17</f>
        <v>1307</v>
      </c>
      <c r="V18" s="100">
        <f t="shared" si="4"/>
        <v>6800</v>
      </c>
      <c r="W18" s="100">
        <f>+W11-W12-W17</f>
        <v>1625</v>
      </c>
      <c r="X18" s="100">
        <f>+X11-X12-X17</f>
        <v>1086</v>
      </c>
      <c r="Y18" s="100">
        <f>+Y11-Y12-Y17</f>
        <v>1036</v>
      </c>
      <c r="Z18" s="100">
        <f>+Z11-Z12-Z17</f>
        <v>-998</v>
      </c>
      <c r="AA18" s="100">
        <f t="shared" si="0"/>
        <v>2749</v>
      </c>
    </row>
    <row r="19" spans="1:27" s="20" customFormat="1" ht="17.25" customHeight="1">
      <c r="A19" s="7"/>
      <c r="B19" s="21" t="s">
        <v>93</v>
      </c>
      <c r="C19" s="122">
        <v>815</v>
      </c>
      <c r="D19" s="122">
        <v>863</v>
      </c>
      <c r="E19" s="122">
        <v>-23</v>
      </c>
      <c r="F19" s="122">
        <v>-407</v>
      </c>
      <c r="G19" s="101">
        <f t="shared" si="1"/>
        <v>1248</v>
      </c>
      <c r="H19" s="122">
        <v>-458</v>
      </c>
      <c r="I19" s="122">
        <v>300</v>
      </c>
      <c r="J19" s="122">
        <v>-1263</v>
      </c>
      <c r="K19" s="122">
        <v>-3175</v>
      </c>
      <c r="L19" s="101">
        <f t="shared" si="2"/>
        <v>-4596</v>
      </c>
      <c r="M19" s="122">
        <v>981</v>
      </c>
      <c r="N19" s="122">
        <v>-34</v>
      </c>
      <c r="O19" s="122">
        <v>427</v>
      </c>
      <c r="P19" s="122">
        <v>461</v>
      </c>
      <c r="Q19" s="101">
        <f t="shared" si="3"/>
        <v>1835</v>
      </c>
      <c r="R19" s="122">
        <v>839</v>
      </c>
      <c r="S19" s="122">
        <v>187</v>
      </c>
      <c r="T19" s="122">
        <v>117</v>
      </c>
      <c r="U19" s="122">
        <v>405</v>
      </c>
      <c r="V19" s="101">
        <f t="shared" si="4"/>
        <v>1548</v>
      </c>
      <c r="W19" s="122">
        <v>465</v>
      </c>
      <c r="X19" s="122">
        <v>271</v>
      </c>
      <c r="Y19" s="122">
        <v>332</v>
      </c>
      <c r="Z19" s="122">
        <v>-397</v>
      </c>
      <c r="AA19" s="101">
        <f t="shared" si="0"/>
        <v>671</v>
      </c>
    </row>
    <row r="20" spans="1:27" ht="26.25" thickBot="1">
      <c r="A20" s="7"/>
      <c r="B20" s="143" t="s">
        <v>99</v>
      </c>
      <c r="C20" s="47">
        <f aca="true" t="shared" si="5" ref="C20:J20">+C18-C19</f>
        <v>2733</v>
      </c>
      <c r="D20" s="47">
        <f t="shared" si="5"/>
        <v>3223</v>
      </c>
      <c r="E20" s="47">
        <f t="shared" si="5"/>
        <v>1340</v>
      </c>
      <c r="F20" s="47">
        <f t="shared" si="5"/>
        <v>596</v>
      </c>
      <c r="G20" s="47">
        <f t="shared" si="5"/>
        <v>7892</v>
      </c>
      <c r="H20" s="47">
        <f t="shared" si="5"/>
        <v>-2123</v>
      </c>
      <c r="I20" s="47">
        <f t="shared" si="5"/>
        <v>1279</v>
      </c>
      <c r="J20" s="47">
        <f t="shared" si="5"/>
        <v>-1238</v>
      </c>
      <c r="K20" s="47">
        <f aca="true" t="shared" si="6" ref="K20:T20">+K18-K19</f>
        <v>-5485</v>
      </c>
      <c r="L20" s="47">
        <f t="shared" si="6"/>
        <v>-7567</v>
      </c>
      <c r="M20" s="47">
        <f t="shared" si="6"/>
        <v>2073</v>
      </c>
      <c r="N20" s="47">
        <f t="shared" si="6"/>
        <v>1598</v>
      </c>
      <c r="O20" s="47">
        <f t="shared" si="6"/>
        <v>2193</v>
      </c>
      <c r="P20" s="47">
        <f t="shared" si="6"/>
        <v>884</v>
      </c>
      <c r="Q20" s="47">
        <f t="shared" si="3"/>
        <v>6748</v>
      </c>
      <c r="R20" s="47">
        <f t="shared" si="6"/>
        <v>2095</v>
      </c>
      <c r="S20" s="47">
        <f t="shared" si="6"/>
        <v>1619</v>
      </c>
      <c r="T20" s="47">
        <f t="shared" si="6"/>
        <v>636</v>
      </c>
      <c r="U20" s="47">
        <f>+U18-U19</f>
        <v>902</v>
      </c>
      <c r="V20" s="47">
        <f t="shared" si="4"/>
        <v>5252</v>
      </c>
      <c r="W20" s="47">
        <f>+W18-W19</f>
        <v>1160</v>
      </c>
      <c r="X20" s="47">
        <f>+X18-X19</f>
        <v>815</v>
      </c>
      <c r="Y20" s="47">
        <f>+Y18-Y19</f>
        <v>704</v>
      </c>
      <c r="Z20" s="47">
        <f>+Z18-Z19</f>
        <v>-601</v>
      </c>
      <c r="AA20" s="47">
        <f t="shared" si="0"/>
        <v>2078</v>
      </c>
    </row>
    <row r="21" spans="1:27" ht="17.25" customHeight="1">
      <c r="A21" s="7"/>
      <c r="B21" s="21" t="s">
        <v>102</v>
      </c>
      <c r="C21" s="119">
        <v>21</v>
      </c>
      <c r="D21" s="119">
        <v>0</v>
      </c>
      <c r="E21" s="119">
        <v>-25</v>
      </c>
      <c r="F21" s="119">
        <v>10</v>
      </c>
      <c r="G21" s="98">
        <f t="shared" si="1"/>
        <v>6</v>
      </c>
      <c r="H21" s="119">
        <v>6</v>
      </c>
      <c r="I21" s="119">
        <v>-5</v>
      </c>
      <c r="J21" s="119">
        <v>6</v>
      </c>
      <c r="K21" s="119">
        <v>-538</v>
      </c>
      <c r="L21" s="98">
        <f t="shared" si="2"/>
        <v>-531</v>
      </c>
      <c r="M21" s="119">
        <v>-32</v>
      </c>
      <c r="N21" s="119">
        <v>13</v>
      </c>
      <c r="O21" s="119">
        <v>188</v>
      </c>
      <c r="P21" s="119">
        <v>0</v>
      </c>
      <c r="Q21" s="98">
        <f t="shared" si="3"/>
        <v>169</v>
      </c>
      <c r="R21" s="119">
        <v>-19</v>
      </c>
      <c r="S21" s="119">
        <v>0</v>
      </c>
      <c r="T21" s="119">
        <v>0</v>
      </c>
      <c r="U21" s="119">
        <v>0</v>
      </c>
      <c r="V21" s="98">
        <f t="shared" si="4"/>
        <v>-19</v>
      </c>
      <c r="W21" s="119">
        <v>0</v>
      </c>
      <c r="X21" s="119">
        <v>0</v>
      </c>
      <c r="Y21" s="119">
        <v>0</v>
      </c>
      <c r="Z21" s="119">
        <v>0</v>
      </c>
      <c r="AA21" s="98">
        <f t="shared" si="0"/>
        <v>0</v>
      </c>
    </row>
    <row r="22" spans="1:27" s="20" customFormat="1" ht="21" customHeight="1">
      <c r="A22" s="7"/>
      <c r="B22" s="17" t="s">
        <v>23</v>
      </c>
      <c r="C22" s="132">
        <v>0</v>
      </c>
      <c r="D22" s="132">
        <v>0</v>
      </c>
      <c r="E22" s="132">
        <v>0</v>
      </c>
      <c r="F22" s="132">
        <v>0</v>
      </c>
      <c r="G22" s="105">
        <f t="shared" si="1"/>
        <v>0</v>
      </c>
      <c r="H22" s="132">
        <v>0</v>
      </c>
      <c r="I22" s="132">
        <v>0</v>
      </c>
      <c r="J22" s="132">
        <v>0</v>
      </c>
      <c r="K22" s="132">
        <v>0</v>
      </c>
      <c r="L22" s="105">
        <f t="shared" si="2"/>
        <v>0</v>
      </c>
      <c r="M22" s="132">
        <v>0</v>
      </c>
      <c r="N22" s="132">
        <v>0</v>
      </c>
      <c r="O22" s="132">
        <v>0</v>
      </c>
      <c r="P22" s="132">
        <v>0</v>
      </c>
      <c r="Q22" s="105">
        <f t="shared" si="3"/>
        <v>0</v>
      </c>
      <c r="R22" s="132">
        <v>0</v>
      </c>
      <c r="S22" s="132">
        <v>0</v>
      </c>
      <c r="T22" s="132">
        <v>0</v>
      </c>
      <c r="U22" s="132">
        <v>0</v>
      </c>
      <c r="V22" s="105">
        <f t="shared" si="4"/>
        <v>0</v>
      </c>
      <c r="W22" s="132">
        <v>0</v>
      </c>
      <c r="X22" s="132">
        <v>0</v>
      </c>
      <c r="Y22" s="132">
        <v>0</v>
      </c>
      <c r="Z22" s="132">
        <v>0</v>
      </c>
      <c r="AA22" s="105">
        <f t="shared" si="0"/>
        <v>0</v>
      </c>
    </row>
    <row r="23" spans="1:27" s="20" customFormat="1" ht="17.25" customHeight="1" thickBot="1">
      <c r="A23" s="7"/>
      <c r="B23" s="30" t="s">
        <v>92</v>
      </c>
      <c r="C23" s="99">
        <f>SUM(C20:C22)</f>
        <v>2754</v>
      </c>
      <c r="D23" s="99">
        <f>SUM(D20:D22)</f>
        <v>3223</v>
      </c>
      <c r="E23" s="99">
        <f>SUM(E20:E22)</f>
        <v>1315</v>
      </c>
      <c r="F23" s="99">
        <f>SUM(F20:F22)</f>
        <v>606</v>
      </c>
      <c r="G23" s="99">
        <f t="shared" si="1"/>
        <v>7898</v>
      </c>
      <c r="H23" s="99">
        <f>SUM(H20:H22)</f>
        <v>-2117</v>
      </c>
      <c r="I23" s="99">
        <f>SUM(I20:I22)</f>
        <v>1274</v>
      </c>
      <c r="J23" s="99">
        <f>SUM(J20:J22)</f>
        <v>-1232</v>
      </c>
      <c r="K23" s="99">
        <f>SUM(K20:K22)</f>
        <v>-6023</v>
      </c>
      <c r="L23" s="99">
        <f t="shared" si="2"/>
        <v>-8098</v>
      </c>
      <c r="M23" s="99">
        <f>SUM(M20:M22)</f>
        <v>2041</v>
      </c>
      <c r="N23" s="99">
        <f>SUM(N20:N22)</f>
        <v>1611</v>
      </c>
      <c r="O23" s="99">
        <f>SUM(O20:O22)</f>
        <v>2381</v>
      </c>
      <c r="P23" s="99">
        <f>SUM(P20:P22)</f>
        <v>884</v>
      </c>
      <c r="Q23" s="99">
        <f t="shared" si="3"/>
        <v>6917</v>
      </c>
      <c r="R23" s="99">
        <f>SUM(R20:R22)</f>
        <v>2076</v>
      </c>
      <c r="S23" s="99">
        <f>SUM(S20:S22)</f>
        <v>1619</v>
      </c>
      <c r="T23" s="99">
        <f>SUM(T20:T22)</f>
        <v>636</v>
      </c>
      <c r="U23" s="99">
        <f>SUM(U20:U22)</f>
        <v>902</v>
      </c>
      <c r="V23" s="99">
        <f t="shared" si="4"/>
        <v>5233</v>
      </c>
      <c r="W23" s="99">
        <f>SUM(W20:W22)</f>
        <v>1160</v>
      </c>
      <c r="X23" s="99">
        <f>SUM(X20:X22)</f>
        <v>815</v>
      </c>
      <c r="Y23" s="99">
        <f>SUM(Y20:Y22)</f>
        <v>704</v>
      </c>
      <c r="Z23" s="99">
        <f>SUM(Z20:Z22)</f>
        <v>-601</v>
      </c>
      <c r="AA23" s="99">
        <f t="shared" si="0"/>
        <v>2078</v>
      </c>
    </row>
    <row r="24" spans="1:27" s="20" customFormat="1" ht="31.5" customHeight="1">
      <c r="A24" s="7"/>
      <c r="B24" s="170" t="s">
        <v>157</v>
      </c>
      <c r="C24" s="124">
        <v>25</v>
      </c>
      <c r="D24" s="124">
        <v>34</v>
      </c>
      <c r="E24" s="124">
        <v>13</v>
      </c>
      <c r="F24" s="124">
        <v>66</v>
      </c>
      <c r="G24" s="103">
        <f>SUM(C24:F24)</f>
        <v>138</v>
      </c>
      <c r="H24" s="124">
        <v>31</v>
      </c>
      <c r="I24" s="124">
        <v>59</v>
      </c>
      <c r="J24" s="124">
        <v>29</v>
      </c>
      <c r="K24" s="124">
        <v>1</v>
      </c>
      <c r="L24" s="103">
        <f>SUM(H24:K24)</f>
        <v>120</v>
      </c>
      <c r="M24" s="124">
        <v>35</v>
      </c>
      <c r="N24" s="124">
        <v>40</v>
      </c>
      <c r="O24" s="124">
        <v>27</v>
      </c>
      <c r="P24" s="124">
        <v>91</v>
      </c>
      <c r="Q24" s="103">
        <f t="shared" si="3"/>
        <v>193</v>
      </c>
      <c r="R24" s="124">
        <v>21</v>
      </c>
      <c r="S24" s="124">
        <v>26</v>
      </c>
      <c r="T24" s="124">
        <v>27</v>
      </c>
      <c r="U24" s="124">
        <v>61</v>
      </c>
      <c r="V24" s="103">
        <f t="shared" si="4"/>
        <v>135</v>
      </c>
      <c r="W24" s="124">
        <v>21</v>
      </c>
      <c r="X24" s="124">
        <v>47</v>
      </c>
      <c r="Y24" s="124">
        <v>21</v>
      </c>
      <c r="Z24" s="124">
        <v>36</v>
      </c>
      <c r="AA24" s="103">
        <f t="shared" si="0"/>
        <v>125</v>
      </c>
    </row>
    <row r="25" spans="1:27" s="20" customFormat="1" ht="31.5" customHeight="1" thickBot="1">
      <c r="A25" s="7"/>
      <c r="B25" s="46" t="s">
        <v>121</v>
      </c>
      <c r="C25" s="47">
        <f aca="true" t="shared" si="7" ref="C25:N25">+C23-C24</f>
        <v>2729</v>
      </c>
      <c r="D25" s="47">
        <f t="shared" si="7"/>
        <v>3189</v>
      </c>
      <c r="E25" s="47">
        <f t="shared" si="7"/>
        <v>1302</v>
      </c>
      <c r="F25" s="47">
        <f t="shared" si="7"/>
        <v>540</v>
      </c>
      <c r="G25" s="47">
        <f t="shared" si="7"/>
        <v>7760</v>
      </c>
      <c r="H25" s="47">
        <f t="shared" si="7"/>
        <v>-2148</v>
      </c>
      <c r="I25" s="47">
        <f t="shared" si="7"/>
        <v>1215</v>
      </c>
      <c r="J25" s="47">
        <f t="shared" si="7"/>
        <v>-1261</v>
      </c>
      <c r="K25" s="47">
        <f t="shared" si="7"/>
        <v>-6024</v>
      </c>
      <c r="L25" s="47">
        <f t="shared" si="7"/>
        <v>-8218</v>
      </c>
      <c r="M25" s="47">
        <f t="shared" si="7"/>
        <v>2006</v>
      </c>
      <c r="N25" s="47">
        <f t="shared" si="7"/>
        <v>1571</v>
      </c>
      <c r="O25" s="47">
        <f>+O23-O24</f>
        <v>2354</v>
      </c>
      <c r="P25" s="47">
        <f>+P23-P24</f>
        <v>793</v>
      </c>
      <c r="Q25" s="47">
        <f t="shared" si="3"/>
        <v>6724</v>
      </c>
      <c r="R25" s="47">
        <f>+R23-R24</f>
        <v>2055</v>
      </c>
      <c r="S25" s="47">
        <f>+S23-S24</f>
        <v>1593</v>
      </c>
      <c r="T25" s="47">
        <f>+T23-T24</f>
        <v>609</v>
      </c>
      <c r="U25" s="47">
        <f>+U23-U24</f>
        <v>841</v>
      </c>
      <c r="V25" s="47">
        <f t="shared" si="4"/>
        <v>5098</v>
      </c>
      <c r="W25" s="47">
        <f>+W23-W24</f>
        <v>1139</v>
      </c>
      <c r="X25" s="47">
        <f>+X23-X24</f>
        <v>768</v>
      </c>
      <c r="Y25" s="47">
        <f>+Y23-Y24</f>
        <v>683</v>
      </c>
      <c r="Z25" s="47">
        <f>+Z23-Z24</f>
        <v>-637</v>
      </c>
      <c r="AA25" s="47">
        <f t="shared" si="0"/>
        <v>1953</v>
      </c>
    </row>
    <row r="26" spans="1:27" ht="30" customHeight="1">
      <c r="A26" s="7"/>
      <c r="B26" s="174" t="s">
        <v>116</v>
      </c>
      <c r="C26" s="173">
        <f aca="true" t="shared" si="8" ref="C26:P26">+C20-C24</f>
        <v>2708</v>
      </c>
      <c r="D26" s="173">
        <f t="shared" si="8"/>
        <v>3189</v>
      </c>
      <c r="E26" s="173">
        <f t="shared" si="8"/>
        <v>1327</v>
      </c>
      <c r="F26" s="173">
        <f t="shared" si="8"/>
        <v>530</v>
      </c>
      <c r="G26" s="173">
        <f t="shared" si="8"/>
        <v>7754</v>
      </c>
      <c r="H26" s="173">
        <f t="shared" si="8"/>
        <v>-2154</v>
      </c>
      <c r="I26" s="173">
        <f t="shared" si="8"/>
        <v>1220</v>
      </c>
      <c r="J26" s="173">
        <f t="shared" si="8"/>
        <v>-1267</v>
      </c>
      <c r="K26" s="173">
        <f t="shared" si="8"/>
        <v>-5486</v>
      </c>
      <c r="L26" s="173">
        <f t="shared" si="8"/>
        <v>-7687</v>
      </c>
      <c r="M26" s="173">
        <f t="shared" si="8"/>
        <v>2038</v>
      </c>
      <c r="N26" s="173">
        <f t="shared" si="8"/>
        <v>1558</v>
      </c>
      <c r="O26" s="173">
        <f t="shared" si="8"/>
        <v>2166</v>
      </c>
      <c r="P26" s="173">
        <f t="shared" si="8"/>
        <v>793</v>
      </c>
      <c r="Q26" s="173">
        <f t="shared" si="3"/>
        <v>6555</v>
      </c>
      <c r="R26" s="173">
        <f>+R20-R24</f>
        <v>2074</v>
      </c>
      <c r="S26" s="173">
        <f>+S20-S24</f>
        <v>1593</v>
      </c>
      <c r="T26" s="173">
        <f>+T20-T24</f>
        <v>609</v>
      </c>
      <c r="U26" s="173">
        <f>+U20-U24</f>
        <v>841</v>
      </c>
      <c r="V26" s="173">
        <f t="shared" si="4"/>
        <v>5117</v>
      </c>
      <c r="W26" s="173">
        <f>+W20-W24</f>
        <v>1139</v>
      </c>
      <c r="X26" s="173">
        <f>+X20-X24</f>
        <v>768</v>
      </c>
      <c r="Y26" s="173">
        <f>+Y20-Y24</f>
        <v>683</v>
      </c>
      <c r="Z26" s="173">
        <f>+Z20-Z24</f>
        <v>-637</v>
      </c>
      <c r="AA26" s="173">
        <f t="shared" si="0"/>
        <v>1953</v>
      </c>
    </row>
    <row r="27" spans="1:27" ht="27.75" customHeight="1">
      <c r="A27" s="7"/>
      <c r="B27" s="174" t="s">
        <v>122</v>
      </c>
      <c r="C27" s="173">
        <f aca="true" t="shared" si="9" ref="C27:F28">+C21</f>
        <v>21</v>
      </c>
      <c r="D27" s="173">
        <f t="shared" si="9"/>
        <v>0</v>
      </c>
      <c r="E27" s="173">
        <f t="shared" si="9"/>
        <v>-25</v>
      </c>
      <c r="F27" s="173">
        <f t="shared" si="9"/>
        <v>10</v>
      </c>
      <c r="G27" s="171">
        <f aca="true" t="shared" si="10" ref="G27:M27">+G21</f>
        <v>6</v>
      </c>
      <c r="H27" s="171">
        <f t="shared" si="10"/>
        <v>6</v>
      </c>
      <c r="I27" s="171">
        <f t="shared" si="10"/>
        <v>-5</v>
      </c>
      <c r="J27" s="171">
        <f t="shared" si="10"/>
        <v>6</v>
      </c>
      <c r="K27" s="171">
        <f t="shared" si="10"/>
        <v>-538</v>
      </c>
      <c r="L27" s="171">
        <f t="shared" si="10"/>
        <v>-531</v>
      </c>
      <c r="M27" s="171">
        <f t="shared" si="10"/>
        <v>-32</v>
      </c>
      <c r="N27" s="171">
        <f aca="true" t="shared" si="11" ref="N27:P28">+N21</f>
        <v>13</v>
      </c>
      <c r="O27" s="171">
        <f t="shared" si="11"/>
        <v>188</v>
      </c>
      <c r="P27" s="171">
        <f t="shared" si="11"/>
        <v>0</v>
      </c>
      <c r="Q27" s="171">
        <f t="shared" si="3"/>
        <v>169</v>
      </c>
      <c r="R27" s="171">
        <f aca="true" t="shared" si="12" ref="R27:U28">+R21</f>
        <v>-19</v>
      </c>
      <c r="S27" s="171">
        <f t="shared" si="12"/>
        <v>0</v>
      </c>
      <c r="T27" s="171">
        <f t="shared" si="12"/>
        <v>0</v>
      </c>
      <c r="U27" s="171">
        <f t="shared" si="12"/>
        <v>0</v>
      </c>
      <c r="V27" s="171">
        <f t="shared" si="4"/>
        <v>-19</v>
      </c>
      <c r="W27" s="171">
        <f aca="true" t="shared" si="13" ref="W27:Y28">+W21</f>
        <v>0</v>
      </c>
      <c r="X27" s="171">
        <f t="shared" si="13"/>
        <v>0</v>
      </c>
      <c r="Y27" s="171">
        <f t="shared" si="13"/>
        <v>0</v>
      </c>
      <c r="Z27" s="171">
        <f>+Z21</f>
        <v>0</v>
      </c>
      <c r="AA27" s="171">
        <f t="shared" si="0"/>
        <v>0</v>
      </c>
    </row>
    <row r="28" spans="1:27" ht="19.5" customHeight="1" thickBot="1">
      <c r="A28" s="7"/>
      <c r="B28" s="308" t="s">
        <v>115</v>
      </c>
      <c r="C28" s="309">
        <f t="shared" si="9"/>
        <v>0</v>
      </c>
      <c r="D28" s="309">
        <f t="shared" si="9"/>
        <v>0</v>
      </c>
      <c r="E28" s="309">
        <f t="shared" si="9"/>
        <v>0</v>
      </c>
      <c r="F28" s="309">
        <f t="shared" si="9"/>
        <v>0</v>
      </c>
      <c r="G28" s="310">
        <f aca="true" t="shared" si="14" ref="G28:M28">+G22</f>
        <v>0</v>
      </c>
      <c r="H28" s="310">
        <f t="shared" si="14"/>
        <v>0</v>
      </c>
      <c r="I28" s="310">
        <f t="shared" si="14"/>
        <v>0</v>
      </c>
      <c r="J28" s="310">
        <f t="shared" si="14"/>
        <v>0</v>
      </c>
      <c r="K28" s="310">
        <f t="shared" si="14"/>
        <v>0</v>
      </c>
      <c r="L28" s="310">
        <f t="shared" si="14"/>
        <v>0</v>
      </c>
      <c r="M28" s="310">
        <f t="shared" si="14"/>
        <v>0</v>
      </c>
      <c r="N28" s="310">
        <f t="shared" si="11"/>
        <v>0</v>
      </c>
      <c r="O28" s="310">
        <f t="shared" si="11"/>
        <v>0</v>
      </c>
      <c r="P28" s="310">
        <f t="shared" si="11"/>
        <v>0</v>
      </c>
      <c r="Q28" s="310">
        <f t="shared" si="3"/>
        <v>0</v>
      </c>
      <c r="R28" s="310">
        <f t="shared" si="12"/>
        <v>0</v>
      </c>
      <c r="S28" s="310">
        <f t="shared" si="12"/>
        <v>0</v>
      </c>
      <c r="T28" s="310">
        <f t="shared" si="12"/>
        <v>0</v>
      </c>
      <c r="U28" s="310">
        <f t="shared" si="12"/>
        <v>0</v>
      </c>
      <c r="V28" s="310">
        <f t="shared" si="4"/>
        <v>0</v>
      </c>
      <c r="W28" s="310">
        <f t="shared" si="13"/>
        <v>0</v>
      </c>
      <c r="X28" s="310">
        <f t="shared" si="13"/>
        <v>0</v>
      </c>
      <c r="Y28" s="310">
        <f t="shared" si="13"/>
        <v>0</v>
      </c>
      <c r="Z28" s="310">
        <f>+Z22</f>
        <v>0</v>
      </c>
      <c r="AA28" s="310">
        <f t="shared" si="0"/>
        <v>0</v>
      </c>
    </row>
    <row r="29" spans="1:27" ht="12" customHeight="1">
      <c r="A29" s="7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7.25" customHeight="1">
      <c r="A30" s="7"/>
      <c r="B30" s="13" t="s">
        <v>114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7.25" customHeight="1">
      <c r="A31" s="7"/>
      <c r="B31" s="32" t="s">
        <v>42</v>
      </c>
      <c r="C31" s="58">
        <f aca="true" t="shared" si="15" ref="C31:L31">+C17/C11*100</f>
        <v>65.8</v>
      </c>
      <c r="D31" s="58">
        <f t="shared" si="15"/>
        <v>64.9</v>
      </c>
      <c r="E31" s="58">
        <f t="shared" si="15"/>
        <v>77.8</v>
      </c>
      <c r="F31" s="58">
        <f t="shared" si="15"/>
        <v>93.9</v>
      </c>
      <c r="G31" s="58">
        <f t="shared" si="15"/>
        <v>72.8</v>
      </c>
      <c r="H31" s="58">
        <f t="shared" si="15"/>
        <v>183</v>
      </c>
      <c r="I31" s="58">
        <f t="shared" si="15"/>
        <v>79</v>
      </c>
      <c r="J31" s="58">
        <f t="shared" si="15"/>
        <v>178.4</v>
      </c>
      <c r="K31" s="58">
        <f t="shared" si="15"/>
        <v>-346.7</v>
      </c>
      <c r="L31" s="58">
        <f t="shared" si="15"/>
        <v>195.7</v>
      </c>
      <c r="M31" s="58">
        <f aca="true" t="shared" si="16" ref="M31:R31">+M17/M11*100</f>
        <v>66.1</v>
      </c>
      <c r="N31" s="58">
        <f t="shared" si="16"/>
        <v>78.2</v>
      </c>
      <c r="O31" s="58">
        <f t="shared" si="16"/>
        <v>70</v>
      </c>
      <c r="P31" s="58">
        <f t="shared" si="16"/>
        <v>80</v>
      </c>
      <c r="Q31" s="58">
        <f t="shared" si="16"/>
        <v>73</v>
      </c>
      <c r="R31" s="58">
        <f t="shared" si="16"/>
        <v>67.8</v>
      </c>
      <c r="S31" s="58">
        <f aca="true" t="shared" si="17" ref="S31:X31">+S17/S11*100</f>
        <v>78.3</v>
      </c>
      <c r="T31" s="58">
        <f t="shared" si="17"/>
        <v>88.4</v>
      </c>
      <c r="U31" s="58">
        <f t="shared" si="17"/>
        <v>81.6</v>
      </c>
      <c r="V31" s="58">
        <f t="shared" si="17"/>
        <v>78.1</v>
      </c>
      <c r="W31" s="58">
        <f t="shared" si="17"/>
        <v>79.3</v>
      </c>
      <c r="X31" s="58">
        <f t="shared" si="17"/>
        <v>82.6</v>
      </c>
      <c r="Y31" s="58">
        <f>+Y17/Y11*100</f>
        <v>83.6</v>
      </c>
      <c r="Z31" s="58">
        <f>+Z17/Z11*100</f>
        <v>120.1</v>
      </c>
      <c r="AA31" s="58">
        <f>+AA17/AA11*100</f>
        <v>88.5</v>
      </c>
    </row>
    <row r="32" spans="1:27" ht="17.25" customHeight="1">
      <c r="A32" s="7"/>
      <c r="B32" s="32" t="s">
        <v>43</v>
      </c>
      <c r="C32" s="58">
        <f aca="true" t="shared" si="18" ref="C32:L32">+C18/C11*100</f>
        <v>33.7</v>
      </c>
      <c r="D32" s="58">
        <f t="shared" si="18"/>
        <v>35.3</v>
      </c>
      <c r="E32" s="58">
        <f t="shared" si="18"/>
        <v>22.1</v>
      </c>
      <c r="F32" s="58">
        <f t="shared" si="18"/>
        <v>2.9</v>
      </c>
      <c r="G32" s="58">
        <f t="shared" si="18"/>
        <v>26.5</v>
      </c>
      <c r="H32" s="58">
        <f t="shared" si="18"/>
        <v>-88.2</v>
      </c>
      <c r="I32" s="58">
        <f t="shared" si="18"/>
        <v>20.4</v>
      </c>
      <c r="J32" s="58">
        <f t="shared" si="18"/>
        <v>-82.7</v>
      </c>
      <c r="K32" s="58">
        <f t="shared" si="18"/>
        <v>473.2</v>
      </c>
      <c r="L32" s="58">
        <f t="shared" si="18"/>
        <v>-102.5</v>
      </c>
      <c r="M32" s="58">
        <f aca="true" t="shared" si="19" ref="M32:R32">+M18/M11*100</f>
        <v>32</v>
      </c>
      <c r="N32" s="58">
        <f t="shared" si="19"/>
        <v>18.2</v>
      </c>
      <c r="O32" s="58">
        <f t="shared" si="19"/>
        <v>29.4</v>
      </c>
      <c r="P32" s="58">
        <f t="shared" si="19"/>
        <v>20.6</v>
      </c>
      <c r="Q32" s="58">
        <f t="shared" si="19"/>
        <v>25.5</v>
      </c>
      <c r="R32" s="58">
        <f t="shared" si="19"/>
        <v>32.7</v>
      </c>
      <c r="S32" s="58">
        <f aca="true" t="shared" si="20" ref="S32:X32">+S18/S11*100</f>
        <v>21.4</v>
      </c>
      <c r="T32" s="58">
        <f t="shared" si="20"/>
        <v>12</v>
      </c>
      <c r="U32" s="58">
        <f t="shared" si="20"/>
        <v>18.8</v>
      </c>
      <c r="V32" s="58">
        <f t="shared" si="20"/>
        <v>22.2</v>
      </c>
      <c r="W32" s="58">
        <f t="shared" si="20"/>
        <v>20.8</v>
      </c>
      <c r="X32" s="58">
        <f t="shared" si="20"/>
        <v>17.2</v>
      </c>
      <c r="Y32" s="58">
        <f>+Y18/Y11*100</f>
        <v>15.2</v>
      </c>
      <c r="Z32" s="58">
        <f>+Z18/Z11*100</f>
        <v>-22.3</v>
      </c>
      <c r="AA32" s="58">
        <f>+AA18/AA11*100</f>
        <v>10.8</v>
      </c>
    </row>
    <row r="33" spans="1:27" ht="17.25" customHeight="1">
      <c r="A33" s="7"/>
      <c r="B33" s="32" t="s">
        <v>73</v>
      </c>
      <c r="C33" s="58">
        <f aca="true" t="shared" si="21" ref="C33:H33">+C19/C18*100</f>
        <v>23</v>
      </c>
      <c r="D33" s="58">
        <f t="shared" si="21"/>
        <v>21.1</v>
      </c>
      <c r="E33" s="58">
        <f t="shared" si="21"/>
        <v>-1.7</v>
      </c>
      <c r="F33" s="58">
        <f t="shared" si="21"/>
        <v>-215.3</v>
      </c>
      <c r="G33" s="58">
        <f t="shared" si="21"/>
        <v>13.7</v>
      </c>
      <c r="H33" s="58">
        <f t="shared" si="21"/>
        <v>17.7</v>
      </c>
      <c r="I33" s="58">
        <f aca="true" t="shared" si="22" ref="I33:N33">+I19/I18*100</f>
        <v>19</v>
      </c>
      <c r="J33" s="58">
        <f t="shared" si="22"/>
        <v>50.5</v>
      </c>
      <c r="K33" s="58">
        <f t="shared" si="22"/>
        <v>36.7</v>
      </c>
      <c r="L33" s="58">
        <f t="shared" si="22"/>
        <v>37.8</v>
      </c>
      <c r="M33" s="58">
        <f t="shared" si="22"/>
        <v>32.1</v>
      </c>
      <c r="N33" s="58">
        <f t="shared" si="22"/>
        <v>-2.2</v>
      </c>
      <c r="O33" s="58">
        <f aca="true" t="shared" si="23" ref="O33:T33">+O19/O18*100</f>
        <v>16.3</v>
      </c>
      <c r="P33" s="58">
        <f t="shared" si="23"/>
        <v>34.3</v>
      </c>
      <c r="Q33" s="58">
        <f t="shared" si="23"/>
        <v>21.4</v>
      </c>
      <c r="R33" s="58">
        <f t="shared" si="23"/>
        <v>28.6</v>
      </c>
      <c r="S33" s="58">
        <f t="shared" si="23"/>
        <v>10.4</v>
      </c>
      <c r="T33" s="58">
        <f t="shared" si="23"/>
        <v>15.5</v>
      </c>
      <c r="U33" s="58">
        <f aca="true" t="shared" si="24" ref="U33:AA33">+U19/U18*100</f>
        <v>31</v>
      </c>
      <c r="V33" s="58">
        <f t="shared" si="24"/>
        <v>22.8</v>
      </c>
      <c r="W33" s="58">
        <f t="shared" si="24"/>
        <v>28.6</v>
      </c>
      <c r="X33" s="58">
        <f t="shared" si="24"/>
        <v>25</v>
      </c>
      <c r="Y33" s="58">
        <f t="shared" si="24"/>
        <v>32</v>
      </c>
      <c r="Z33" s="58">
        <f t="shared" si="24"/>
        <v>39.8</v>
      </c>
      <c r="AA33" s="58">
        <f t="shared" si="24"/>
        <v>24.4</v>
      </c>
    </row>
    <row r="34" spans="1:27" ht="20.25" customHeight="1" thickBot="1">
      <c r="A34" s="7"/>
      <c r="B34" s="65" t="s">
        <v>174</v>
      </c>
      <c r="C34" s="69">
        <f aca="true" t="shared" si="25" ref="C34:R34">+C25/C11*100</f>
        <v>25.9</v>
      </c>
      <c r="D34" s="69">
        <f t="shared" si="25"/>
        <v>27.5</v>
      </c>
      <c r="E34" s="69">
        <f t="shared" si="25"/>
        <v>21.9</v>
      </c>
      <c r="F34" s="69">
        <f t="shared" si="25"/>
        <v>8.4</v>
      </c>
      <c r="G34" s="69">
        <f t="shared" si="25"/>
        <v>22.5</v>
      </c>
      <c r="H34" s="69">
        <f t="shared" si="25"/>
        <v>-73.4</v>
      </c>
      <c r="I34" s="69">
        <f t="shared" si="25"/>
        <v>15.7</v>
      </c>
      <c r="J34" s="69">
        <f t="shared" si="25"/>
        <v>-41.7</v>
      </c>
      <c r="K34" s="69">
        <f t="shared" si="25"/>
        <v>329.2</v>
      </c>
      <c r="L34" s="69">
        <f t="shared" si="25"/>
        <v>-69.3</v>
      </c>
      <c r="M34" s="69">
        <f t="shared" si="25"/>
        <v>21</v>
      </c>
      <c r="N34" s="69">
        <f t="shared" si="25"/>
        <v>18.2</v>
      </c>
      <c r="O34" s="69">
        <f t="shared" si="25"/>
        <v>26.4</v>
      </c>
      <c r="P34" s="69">
        <f t="shared" si="25"/>
        <v>12.1</v>
      </c>
      <c r="Q34" s="69">
        <f t="shared" si="25"/>
        <v>20</v>
      </c>
      <c r="R34" s="69">
        <f t="shared" si="25"/>
        <v>22.9</v>
      </c>
      <c r="S34" s="69">
        <f aca="true" t="shared" si="26" ref="S34:X34">+S25/S11*100</f>
        <v>18.9</v>
      </c>
      <c r="T34" s="69">
        <f t="shared" si="26"/>
        <v>9.7</v>
      </c>
      <c r="U34" s="69">
        <f t="shared" si="26"/>
        <v>12.1</v>
      </c>
      <c r="V34" s="69">
        <f t="shared" si="26"/>
        <v>16.6</v>
      </c>
      <c r="W34" s="69">
        <f t="shared" si="26"/>
        <v>14.6</v>
      </c>
      <c r="X34" s="69">
        <f t="shared" si="26"/>
        <v>12.1</v>
      </c>
      <c r="Y34" s="69">
        <f>+Y25/Y11*100</f>
        <v>10</v>
      </c>
      <c r="Z34" s="69">
        <f>+Z25/Z11*100</f>
        <v>-14.2</v>
      </c>
      <c r="AA34" s="69">
        <f>+AA25/AA11*100</f>
        <v>7.7</v>
      </c>
    </row>
    <row r="35" spans="1:27" ht="11.25" customHeight="1">
      <c r="A35" s="7"/>
      <c r="B35" s="3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7.25" customHeight="1">
      <c r="A36" s="7"/>
      <c r="B36" s="88" t="s">
        <v>75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</row>
    <row r="37" spans="1:27" ht="29.25" customHeight="1">
      <c r="A37" s="7"/>
      <c r="B37" s="413" t="s">
        <v>123</v>
      </c>
      <c r="C37" s="33">
        <v>22698</v>
      </c>
      <c r="D37" s="33">
        <v>21842</v>
      </c>
      <c r="E37" s="33">
        <v>25064</v>
      </c>
      <c r="F37" s="33">
        <v>22851</v>
      </c>
      <c r="G37" s="33">
        <v>22851</v>
      </c>
      <c r="H37" s="33">
        <v>18280</v>
      </c>
      <c r="I37" s="33">
        <v>18106</v>
      </c>
      <c r="J37" s="33">
        <v>18231</v>
      </c>
      <c r="K37" s="33">
        <v>13063</v>
      </c>
      <c r="L37" s="33">
        <v>13063</v>
      </c>
      <c r="M37" s="33">
        <v>12923</v>
      </c>
      <c r="N37" s="33">
        <v>12482</v>
      </c>
      <c r="O37" s="33">
        <v>12557</v>
      </c>
      <c r="P37" s="33">
        <v>12955</v>
      </c>
      <c r="Q37" s="33">
        <v>12955</v>
      </c>
      <c r="R37" s="33">
        <v>14394</v>
      </c>
      <c r="S37" s="33">
        <v>14905</v>
      </c>
      <c r="T37" s="33">
        <v>12950</v>
      </c>
      <c r="U37" s="33">
        <v>11957</v>
      </c>
      <c r="V37" s="33">
        <v>11957</v>
      </c>
      <c r="W37" s="33">
        <v>11807</v>
      </c>
      <c r="X37" s="33">
        <v>11757</v>
      </c>
      <c r="Y37" s="33">
        <v>11545</v>
      </c>
      <c r="Z37" s="33">
        <v>12190</v>
      </c>
      <c r="AA37" s="33">
        <v>12190</v>
      </c>
    </row>
    <row r="38" spans="1:27" s="20" customFormat="1" ht="26.25" thickBot="1">
      <c r="A38" s="7"/>
      <c r="B38" s="144" t="s">
        <v>223</v>
      </c>
      <c r="C38" s="67" t="s">
        <v>222</v>
      </c>
      <c r="D38" s="67" t="s">
        <v>222</v>
      </c>
      <c r="E38" s="67" t="s">
        <v>222</v>
      </c>
      <c r="F38" s="67" t="s">
        <v>222</v>
      </c>
      <c r="G38" s="67" t="s">
        <v>222</v>
      </c>
      <c r="H38" s="67" t="s">
        <v>222</v>
      </c>
      <c r="I38" s="67" t="s">
        <v>222</v>
      </c>
      <c r="J38" s="67" t="s">
        <v>222</v>
      </c>
      <c r="K38" s="67" t="s">
        <v>222</v>
      </c>
      <c r="L38" s="67" t="s">
        <v>222</v>
      </c>
      <c r="M38" s="67">
        <v>162</v>
      </c>
      <c r="N38" s="417">
        <v>187</v>
      </c>
      <c r="O38" s="67">
        <v>124</v>
      </c>
      <c r="P38" s="67">
        <v>102</v>
      </c>
      <c r="Q38" s="67">
        <v>144</v>
      </c>
      <c r="R38" s="67">
        <v>87</v>
      </c>
      <c r="S38" s="67">
        <v>93</v>
      </c>
      <c r="T38" s="67">
        <v>108</v>
      </c>
      <c r="U38" s="67">
        <v>90</v>
      </c>
      <c r="V38" s="67">
        <v>102</v>
      </c>
      <c r="W38" s="67">
        <v>77</v>
      </c>
      <c r="X38" s="67">
        <v>70</v>
      </c>
      <c r="Y38" s="67">
        <v>76</v>
      </c>
      <c r="Z38" s="67">
        <v>77</v>
      </c>
      <c r="AA38" s="67">
        <v>75</v>
      </c>
    </row>
    <row r="39" spans="1:27" ht="17.25" customHeight="1">
      <c r="A39" s="7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7.25" customHeight="1">
      <c r="A40" s="7"/>
      <c r="B40" s="13" t="s">
        <v>63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7.25" customHeight="1">
      <c r="A41" s="7"/>
      <c r="B41" s="111" t="s">
        <v>26</v>
      </c>
      <c r="C41" s="137">
        <v>22400</v>
      </c>
      <c r="D41" s="137">
        <v>22400</v>
      </c>
      <c r="E41" s="137">
        <v>22800</v>
      </c>
      <c r="F41" s="137">
        <v>23200</v>
      </c>
      <c r="G41" s="112">
        <v>23200</v>
      </c>
      <c r="H41" s="137">
        <v>23800</v>
      </c>
      <c r="I41" s="137">
        <v>24100</v>
      </c>
      <c r="J41" s="137">
        <v>24700</v>
      </c>
      <c r="K41" s="137">
        <v>24400</v>
      </c>
      <c r="L41" s="112">
        <v>24400</v>
      </c>
      <c r="M41" s="137">
        <v>24100</v>
      </c>
      <c r="N41" s="137">
        <v>24000</v>
      </c>
      <c r="O41" s="137">
        <v>24200</v>
      </c>
      <c r="P41" s="137">
        <v>24300</v>
      </c>
      <c r="Q41" s="112">
        <f>P41</f>
        <v>24300</v>
      </c>
      <c r="R41" s="137">
        <v>24600</v>
      </c>
      <c r="S41" s="137">
        <v>24900</v>
      </c>
      <c r="T41" s="137">
        <v>25500</v>
      </c>
      <c r="U41" s="137">
        <v>25600</v>
      </c>
      <c r="V41" s="112">
        <f>U41</f>
        <v>25600</v>
      </c>
      <c r="W41" s="137">
        <v>25600</v>
      </c>
      <c r="X41" s="137">
        <v>25700</v>
      </c>
      <c r="Y41" s="137">
        <v>25500</v>
      </c>
      <c r="Z41" s="137">
        <v>25200</v>
      </c>
      <c r="AA41" s="112">
        <f>Z41</f>
        <v>25200</v>
      </c>
    </row>
    <row r="42" spans="1:27" ht="17.25" customHeight="1">
      <c r="A42" s="7"/>
      <c r="B42" s="113" t="s">
        <v>25</v>
      </c>
      <c r="C42" s="298">
        <v>18900</v>
      </c>
      <c r="D42" s="298">
        <v>19200</v>
      </c>
      <c r="E42" s="298">
        <v>20200</v>
      </c>
      <c r="F42" s="298">
        <v>20500</v>
      </c>
      <c r="G42" s="114">
        <f>F42</f>
        <v>20500</v>
      </c>
      <c r="H42" s="298">
        <v>20500</v>
      </c>
      <c r="I42" s="298">
        <v>20400</v>
      </c>
      <c r="J42" s="298">
        <v>21200</v>
      </c>
      <c r="K42" s="298">
        <v>19600</v>
      </c>
      <c r="L42" s="114">
        <f>+K42</f>
        <v>19600</v>
      </c>
      <c r="M42" s="298">
        <v>18800</v>
      </c>
      <c r="N42" s="298">
        <v>18800</v>
      </c>
      <c r="O42" s="298">
        <v>19300</v>
      </c>
      <c r="P42" s="298">
        <v>19400</v>
      </c>
      <c r="Q42" s="173">
        <f>P42</f>
        <v>19400</v>
      </c>
      <c r="R42" s="298">
        <v>20000</v>
      </c>
      <c r="S42" s="298">
        <v>20600</v>
      </c>
      <c r="T42" s="298">
        <v>21200</v>
      </c>
      <c r="U42" s="298">
        <v>20700</v>
      </c>
      <c r="V42" s="173">
        <f>U42</f>
        <v>20700</v>
      </c>
      <c r="W42" s="298">
        <v>20800</v>
      </c>
      <c r="X42" s="298">
        <v>21300</v>
      </c>
      <c r="Y42" s="298">
        <v>21500</v>
      </c>
      <c r="Z42" s="298">
        <v>20900</v>
      </c>
      <c r="AA42" s="173">
        <f>Z42</f>
        <v>20900</v>
      </c>
    </row>
    <row r="43" spans="1:27" ht="17.25" customHeight="1">
      <c r="A43" s="7"/>
      <c r="B43" s="113" t="s">
        <v>27</v>
      </c>
      <c r="C43" s="298">
        <v>3400</v>
      </c>
      <c r="D43" s="298">
        <v>3400</v>
      </c>
      <c r="E43" s="298">
        <v>3500</v>
      </c>
      <c r="F43" s="298">
        <v>3700</v>
      </c>
      <c r="G43" s="114">
        <f>F43</f>
        <v>3700</v>
      </c>
      <c r="H43" s="298">
        <v>3700</v>
      </c>
      <c r="I43" s="298">
        <v>3800</v>
      </c>
      <c r="J43" s="298">
        <v>3700</v>
      </c>
      <c r="K43" s="298">
        <v>3100</v>
      </c>
      <c r="L43" s="114">
        <f>+K43</f>
        <v>3100</v>
      </c>
      <c r="M43" s="298">
        <v>3100</v>
      </c>
      <c r="N43" s="298">
        <v>3200</v>
      </c>
      <c r="O43" s="298">
        <v>3100</v>
      </c>
      <c r="P43" s="298">
        <v>3100</v>
      </c>
      <c r="Q43" s="114">
        <v>3100</v>
      </c>
      <c r="R43" s="298">
        <v>2900</v>
      </c>
      <c r="S43" s="298">
        <v>2800</v>
      </c>
      <c r="T43" s="298">
        <v>2900</v>
      </c>
      <c r="U43" s="298">
        <v>2900</v>
      </c>
      <c r="V43" s="114">
        <f>U43</f>
        <v>2900</v>
      </c>
      <c r="W43" s="298">
        <v>2800</v>
      </c>
      <c r="X43" s="298">
        <v>2800</v>
      </c>
      <c r="Y43" s="298">
        <v>2800</v>
      </c>
      <c r="Z43" s="298">
        <v>2700</v>
      </c>
      <c r="AA43" s="114">
        <f>Z43</f>
        <v>2700</v>
      </c>
    </row>
    <row r="44" spans="1:27" ht="17.25" customHeight="1">
      <c r="A44" s="7"/>
      <c r="B44" s="31" t="s">
        <v>28</v>
      </c>
      <c r="C44" s="133">
        <v>600</v>
      </c>
      <c r="D44" s="133">
        <v>600</v>
      </c>
      <c r="E44" s="133">
        <v>700</v>
      </c>
      <c r="F44" s="133">
        <v>700</v>
      </c>
      <c r="G44" s="60">
        <f>F44</f>
        <v>700</v>
      </c>
      <c r="H44" s="133">
        <v>700</v>
      </c>
      <c r="I44" s="133">
        <v>700</v>
      </c>
      <c r="J44" s="133">
        <v>700</v>
      </c>
      <c r="K44" s="133">
        <v>700</v>
      </c>
      <c r="L44" s="60">
        <f>+K44</f>
        <v>700</v>
      </c>
      <c r="M44" s="133">
        <v>700</v>
      </c>
      <c r="N44" s="133">
        <v>700</v>
      </c>
      <c r="O44" s="133">
        <v>800</v>
      </c>
      <c r="P44" s="133">
        <v>800</v>
      </c>
      <c r="Q44" s="60">
        <v>800</v>
      </c>
      <c r="R44" s="133">
        <v>800</v>
      </c>
      <c r="S44" s="133">
        <v>900</v>
      </c>
      <c r="T44" s="133">
        <v>900</v>
      </c>
      <c r="U44" s="133">
        <v>900</v>
      </c>
      <c r="V44" s="60">
        <f>U44</f>
        <v>900</v>
      </c>
      <c r="W44" s="133">
        <v>900</v>
      </c>
      <c r="X44" s="133">
        <v>900</v>
      </c>
      <c r="Y44" s="133">
        <v>900</v>
      </c>
      <c r="Z44" s="133">
        <v>900</v>
      </c>
      <c r="AA44" s="60">
        <f>Z44</f>
        <v>900</v>
      </c>
    </row>
    <row r="45" spans="1:27" ht="17.25" customHeight="1" thickBot="1">
      <c r="A45" s="7"/>
      <c r="B45" s="30" t="s">
        <v>64</v>
      </c>
      <c r="C45" s="99">
        <f>SUM(C41:C44)</f>
        <v>45300</v>
      </c>
      <c r="D45" s="99">
        <f>SUM(D41:D44)</f>
        <v>45600</v>
      </c>
      <c r="E45" s="99">
        <f>SUM(E41:E44)</f>
        <v>47200</v>
      </c>
      <c r="F45" s="99">
        <f>SUM(F41:F44)</f>
        <v>48100</v>
      </c>
      <c r="G45" s="47">
        <f>F45</f>
        <v>48100</v>
      </c>
      <c r="H45" s="99">
        <f aca="true" t="shared" si="27" ref="H45:N45">SUM(H41:H44)</f>
        <v>48700</v>
      </c>
      <c r="I45" s="99">
        <f t="shared" si="27"/>
        <v>49000</v>
      </c>
      <c r="J45" s="99">
        <f t="shared" si="27"/>
        <v>50300</v>
      </c>
      <c r="K45" s="99">
        <f t="shared" si="27"/>
        <v>47800</v>
      </c>
      <c r="L45" s="99">
        <f t="shared" si="27"/>
        <v>47800</v>
      </c>
      <c r="M45" s="99">
        <f t="shared" si="27"/>
        <v>46700</v>
      </c>
      <c r="N45" s="99">
        <f t="shared" si="27"/>
        <v>46700</v>
      </c>
      <c r="O45" s="99">
        <f aca="true" t="shared" si="28" ref="O45:T45">SUM(O41:O44)</f>
        <v>47400</v>
      </c>
      <c r="P45" s="99">
        <f t="shared" si="28"/>
        <v>47600</v>
      </c>
      <c r="Q45" s="99">
        <f t="shared" si="28"/>
        <v>47600</v>
      </c>
      <c r="R45" s="99">
        <f t="shared" si="28"/>
        <v>48300</v>
      </c>
      <c r="S45" s="99">
        <f t="shared" si="28"/>
        <v>49200</v>
      </c>
      <c r="T45" s="99">
        <f t="shared" si="28"/>
        <v>50500</v>
      </c>
      <c r="U45" s="99">
        <f aca="true" t="shared" si="29" ref="U45:AA45">SUM(U41:U44)</f>
        <v>50100</v>
      </c>
      <c r="V45" s="99">
        <f t="shared" si="29"/>
        <v>50100</v>
      </c>
      <c r="W45" s="99">
        <f t="shared" si="29"/>
        <v>50100</v>
      </c>
      <c r="X45" s="99">
        <f t="shared" si="29"/>
        <v>50700</v>
      </c>
      <c r="Y45" s="99">
        <f t="shared" si="29"/>
        <v>50700</v>
      </c>
      <c r="Z45" s="99">
        <f t="shared" si="29"/>
        <v>49700</v>
      </c>
      <c r="AA45" s="99">
        <f t="shared" si="29"/>
        <v>49700</v>
      </c>
    </row>
    <row r="46" spans="1:27" ht="17.25" customHeight="1">
      <c r="A46" s="7"/>
      <c r="B46" s="3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7.2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7.25" customHeight="1">
      <c r="A48" s="7"/>
      <c r="B48" s="3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20" customFormat="1" ht="17.25" customHeight="1">
      <c r="A49" s="289" t="str">
        <f>+'Credit Suisse'!A78</f>
        <v>1)</v>
      </c>
      <c r="B49" s="167" t="str">
        <f>+'Credit Suisse'!B78</f>
        <v>Based on amounts attributable to shareholders.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ht="11.25" customHeight="1"/>
    <row r="52" spans="4:21" ht="17.25" customHeight="1">
      <c r="D52" s="177"/>
      <c r="E52" s="177"/>
      <c r="F52" s="177"/>
      <c r="H52" s="177"/>
      <c r="I52" s="177"/>
      <c r="J52" s="177"/>
      <c r="K52" s="177"/>
      <c r="P52" s="177"/>
      <c r="U52" s="177"/>
    </row>
    <row r="53" spans="4:21" ht="17.25" customHeight="1">
      <c r="D53" s="177"/>
      <c r="E53" s="177"/>
      <c r="F53" s="177"/>
      <c r="H53" s="177"/>
      <c r="I53" s="177"/>
      <c r="J53" s="177"/>
      <c r="K53" s="177"/>
      <c r="P53" s="177"/>
      <c r="U53" s="177"/>
    </row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Width="0" horizontalDpi="600" verticalDpi="600" orientation="landscape" pageOrder="overThenDown" paperSize="9" scale="75" r:id="rId1"/>
  <headerFooter alignWithMargins="0">
    <oddFooter>&amp;C&amp;A</oddFooter>
  </headerFooter>
  <rowBreaks count="1" manualBreakCount="1">
    <brk id="3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7" width="11.57421875" style="1" customWidth="1"/>
    <col min="28" max="16384" width="1.7109375" style="1" customWidth="1"/>
  </cols>
  <sheetData>
    <row r="1" spans="1:27" ht="21.75" customHeight="1">
      <c r="A1" s="2"/>
      <c r="B1" s="423" t="s">
        <v>164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7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15.75" customHeight="1">
      <c r="A3" s="7"/>
      <c r="B3" s="7"/>
      <c r="C3" s="169" t="s">
        <v>110</v>
      </c>
      <c r="D3" s="169" t="s">
        <v>110</v>
      </c>
      <c r="E3" s="169" t="s">
        <v>110</v>
      </c>
      <c r="F3" s="169" t="s">
        <v>110</v>
      </c>
      <c r="G3" s="16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89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7.25" customHeight="1" thickTop="1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7.25" customHeight="1">
      <c r="A6" s="7"/>
      <c r="B6" s="13" t="s">
        <v>90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</row>
    <row r="7" spans="1:27" s="20" customFormat="1" ht="17.25" customHeight="1">
      <c r="A7" s="7"/>
      <c r="B7" s="14" t="s">
        <v>76</v>
      </c>
      <c r="C7" s="166">
        <v>2610</v>
      </c>
      <c r="D7" s="166">
        <v>2575</v>
      </c>
      <c r="E7" s="166">
        <v>2446</v>
      </c>
      <c r="F7" s="166">
        <v>2674</v>
      </c>
      <c r="G7" s="15">
        <v>10396</v>
      </c>
      <c r="H7" s="166">
        <v>2564</v>
      </c>
      <c r="I7" s="166">
        <v>2492</v>
      </c>
      <c r="J7" s="166">
        <v>2623</v>
      </c>
      <c r="K7" s="166">
        <v>2417</v>
      </c>
      <c r="L7" s="53">
        <f>SUM(H7:K7)</f>
        <v>10096</v>
      </c>
      <c r="M7" s="166">
        <v>2314</v>
      </c>
      <c r="N7" s="166">
        <v>2275</v>
      </c>
      <c r="O7" s="166">
        <v>2145</v>
      </c>
      <c r="P7" s="166">
        <v>2066</v>
      </c>
      <c r="Q7" s="53">
        <f>SUM(M7:P7)</f>
        <v>8800</v>
      </c>
      <c r="R7" s="166">
        <v>2146</v>
      </c>
      <c r="S7" s="166">
        <v>2234</v>
      </c>
      <c r="T7" s="166">
        <v>2006</v>
      </c>
      <c r="U7" s="322">
        <v>2030</v>
      </c>
      <c r="V7" s="53">
        <f>SUM(R7:U7)</f>
        <v>8416</v>
      </c>
      <c r="W7" s="322">
        <v>2150</v>
      </c>
      <c r="X7" s="322">
        <v>2126</v>
      </c>
      <c r="Y7" s="322">
        <v>1989</v>
      </c>
      <c r="Z7" s="322">
        <v>1865</v>
      </c>
      <c r="AA7" s="53">
        <f>SUM(W7:Z7)</f>
        <v>8130</v>
      </c>
    </row>
    <row r="8" spans="1:27" s="20" customFormat="1" ht="17.25" customHeight="1">
      <c r="A8" s="7"/>
      <c r="B8" s="17" t="s">
        <v>78</v>
      </c>
      <c r="C8" s="166">
        <v>3208</v>
      </c>
      <c r="D8" s="166">
        <v>3360</v>
      </c>
      <c r="E8" s="166">
        <v>1964</v>
      </c>
      <c r="F8" s="166">
        <v>2389</v>
      </c>
      <c r="G8" s="18">
        <v>10822</v>
      </c>
      <c r="H8" s="166">
        <v>1009</v>
      </c>
      <c r="I8" s="166">
        <v>996</v>
      </c>
      <c r="J8" s="166">
        <v>323</v>
      </c>
      <c r="K8" s="166">
        <v>-2190</v>
      </c>
      <c r="L8" s="55">
        <f>SUM(H8:K8)</f>
        <v>138</v>
      </c>
      <c r="M8" s="166">
        <v>2303</v>
      </c>
      <c r="N8" s="166">
        <v>2689</v>
      </c>
      <c r="O8" s="166">
        <v>2447</v>
      </c>
      <c r="P8" s="166">
        <v>1570</v>
      </c>
      <c r="Q8" s="55">
        <f>SUM(M8:P8)</f>
        <v>9009</v>
      </c>
      <c r="R8" s="166">
        <v>2289</v>
      </c>
      <c r="S8" s="166">
        <v>1903</v>
      </c>
      <c r="T8" s="166">
        <v>1446</v>
      </c>
      <c r="U8" s="322">
        <v>1507</v>
      </c>
      <c r="V8" s="55">
        <f>SUM(R8:U8)</f>
        <v>7145</v>
      </c>
      <c r="W8" s="322">
        <v>1963</v>
      </c>
      <c r="X8" s="322">
        <v>1611</v>
      </c>
      <c r="Y8" s="322">
        <v>1725</v>
      </c>
      <c r="Z8" s="322">
        <v>1175</v>
      </c>
      <c r="AA8" s="55">
        <f>SUM(W8:Z8)</f>
        <v>6474</v>
      </c>
    </row>
    <row r="9" spans="1:27" s="20" customFormat="1" ht="17.25" customHeight="1">
      <c r="A9" s="7"/>
      <c r="B9" s="17" t="s">
        <v>183</v>
      </c>
      <c r="C9" s="166">
        <v>3918</v>
      </c>
      <c r="D9" s="166">
        <v>4326</v>
      </c>
      <c r="E9" s="166">
        <v>726</v>
      </c>
      <c r="F9" s="166">
        <v>440</v>
      </c>
      <c r="G9" s="18">
        <v>9408</v>
      </c>
      <c r="H9" s="166">
        <v>-1322</v>
      </c>
      <c r="I9" s="166">
        <v>3643</v>
      </c>
      <c r="J9" s="166">
        <v>-255</v>
      </c>
      <c r="K9" s="166">
        <v>-1406</v>
      </c>
      <c r="L9" s="55">
        <f>SUM(H9:K9)</f>
        <v>660</v>
      </c>
      <c r="M9" s="166">
        <v>3821</v>
      </c>
      <c r="N9" s="166">
        <v>3358</v>
      </c>
      <c r="O9" s="166">
        <v>3299</v>
      </c>
      <c r="P9" s="166">
        <v>2316</v>
      </c>
      <c r="Q9" s="55">
        <f>SUM(M9:P9)</f>
        <v>12794</v>
      </c>
      <c r="R9" s="166">
        <v>3520</v>
      </c>
      <c r="S9" s="166">
        <v>2740</v>
      </c>
      <c r="T9" s="166">
        <v>2610</v>
      </c>
      <c r="U9" s="322">
        <v>2688</v>
      </c>
      <c r="V9" s="55">
        <f>SUM(R9:U9)</f>
        <v>11558</v>
      </c>
      <c r="W9" s="322">
        <v>3439</v>
      </c>
      <c r="X9" s="322">
        <v>1861</v>
      </c>
      <c r="Y9" s="322">
        <v>1211</v>
      </c>
      <c r="Z9" s="322">
        <v>793</v>
      </c>
      <c r="AA9" s="55">
        <f>SUM(W9:Z9)</f>
        <v>7304</v>
      </c>
    </row>
    <row r="10" spans="1:27" s="20" customFormat="1" ht="17.25" customHeight="1">
      <c r="A10" s="7"/>
      <c r="B10" s="17" t="s">
        <v>86</v>
      </c>
      <c r="C10" s="166">
        <v>839</v>
      </c>
      <c r="D10" s="166">
        <v>1332</v>
      </c>
      <c r="E10" s="166">
        <v>760</v>
      </c>
      <c r="F10" s="166">
        <v>929</v>
      </c>
      <c r="G10" s="18">
        <v>3870</v>
      </c>
      <c r="H10" s="166">
        <v>555</v>
      </c>
      <c r="I10" s="166">
        <v>499</v>
      </c>
      <c r="J10" s="166">
        <v>276</v>
      </c>
      <c r="K10" s="166">
        <v>-656</v>
      </c>
      <c r="L10" s="55">
        <f>SUM(H10:K10)</f>
        <v>674</v>
      </c>
      <c r="M10" s="166">
        <v>888</v>
      </c>
      <c r="N10" s="166">
        <v>1074</v>
      </c>
      <c r="O10" s="166">
        <v>753</v>
      </c>
      <c r="P10" s="166">
        <v>723</v>
      </c>
      <c r="Q10" s="55">
        <f>SUM(M10:P10)</f>
        <v>3438</v>
      </c>
      <c r="R10" s="166">
        <v>792</v>
      </c>
      <c r="S10" s="166">
        <v>715</v>
      </c>
      <c r="T10" s="166">
        <v>767</v>
      </c>
      <c r="U10" s="322">
        <v>784</v>
      </c>
      <c r="V10" s="55">
        <f>SUM(R10:U10)</f>
        <v>3058</v>
      </c>
      <c r="W10" s="322">
        <v>864</v>
      </c>
      <c r="X10" s="322">
        <v>650</v>
      </c>
      <c r="Y10" s="322">
        <v>650</v>
      </c>
      <c r="Z10" s="322">
        <v>447</v>
      </c>
      <c r="AA10" s="55">
        <f>SUM(W10:Z10)</f>
        <v>2611</v>
      </c>
    </row>
    <row r="11" spans="1:27" s="20" customFormat="1" ht="17.25" customHeight="1" thickBot="1">
      <c r="A11" s="7"/>
      <c r="B11" s="17" t="s">
        <v>28</v>
      </c>
      <c r="C11" s="55">
        <f>+'Corporate Center'!C7</f>
        <v>-33</v>
      </c>
      <c r="D11" s="55">
        <f>+'Corporate Center'!D7</f>
        <v>-2</v>
      </c>
      <c r="E11" s="55">
        <f>+'Corporate Center'!E7</f>
        <v>52</v>
      </c>
      <c r="F11" s="55">
        <f>+'Corporate Center'!F7</f>
        <v>26</v>
      </c>
      <c r="G11" s="55">
        <f>+'Corporate Center'!G7</f>
        <v>43</v>
      </c>
      <c r="H11" s="55">
        <f>+'Corporate Center'!H7</f>
        <v>120</v>
      </c>
      <c r="I11" s="55">
        <f>+'Corporate Center'!I7</f>
        <v>113</v>
      </c>
      <c r="J11" s="55">
        <f>+'Corporate Center'!J7</f>
        <v>56</v>
      </c>
      <c r="K11" s="55">
        <f>+'Corporate Center'!K7</f>
        <v>5</v>
      </c>
      <c r="L11" s="55">
        <f>+'Corporate Center'!L7</f>
        <v>294</v>
      </c>
      <c r="M11" s="55">
        <f>+'Corporate Center'!M7</f>
        <v>231</v>
      </c>
      <c r="N11" s="55">
        <f>+'Corporate Center'!N7</f>
        <v>-786</v>
      </c>
      <c r="O11" s="55">
        <f>+'Corporate Center'!O7</f>
        <v>273</v>
      </c>
      <c r="P11" s="55">
        <f>+'Corporate Center'!P7</f>
        <v>-142</v>
      </c>
      <c r="Q11" s="55">
        <f>+'Corporate Center'!Q7</f>
        <v>-424</v>
      </c>
      <c r="R11" s="55">
        <f>+'Corporate Center'!R7</f>
        <v>214</v>
      </c>
      <c r="S11" s="55">
        <f>+'Corporate Center'!S7</f>
        <v>828</v>
      </c>
      <c r="T11" s="55">
        <v>-545</v>
      </c>
      <c r="U11" s="55">
        <v>-49</v>
      </c>
      <c r="V11" s="55">
        <f>+'Corporate Center'!V7</f>
        <v>448</v>
      </c>
      <c r="W11" s="55">
        <v>-603</v>
      </c>
      <c r="X11" s="55">
        <v>78</v>
      </c>
      <c r="Y11" s="55">
        <v>1242</v>
      </c>
      <c r="Z11" s="55">
        <v>193</v>
      </c>
      <c r="AA11" s="55">
        <f>+'Corporate Center'!AA7</f>
        <v>910</v>
      </c>
    </row>
    <row r="12" spans="1:27" ht="17.25" customHeight="1" thickBot="1">
      <c r="A12" s="7"/>
      <c r="B12" s="25" t="s">
        <v>91</v>
      </c>
      <c r="C12" s="48">
        <f>IF(SUM(C7:C11)='Core Results'!C11,SUM(C7:C11),"Error")</f>
        <v>10542</v>
      </c>
      <c r="D12" s="48">
        <f>IF(SUM(D7:D11)='Core Results'!D11,SUM(D7:D11),"Error")</f>
        <v>11591</v>
      </c>
      <c r="E12" s="48">
        <f>IF(SUM(E7:E11)='Core Results'!E11,SUM(E7:E11),"Error")</f>
        <v>5948</v>
      </c>
      <c r="F12" s="48">
        <f>IF(SUM(F7:F11)='Core Results'!F11,SUM(F7:F11),"Error")</f>
        <v>6458</v>
      </c>
      <c r="G12" s="48">
        <f>IF(SUM(C12+D12+E12+F12)='Core Results'!G11,SUM(C12+D12+E12+F12),"Error")</f>
        <v>34539</v>
      </c>
      <c r="H12" s="48">
        <f>IF(SUM(H7:H11)='Core Results'!H11,SUM(H7:H11),"Error")</f>
        <v>2926</v>
      </c>
      <c r="I12" s="48">
        <f>IF(SUM(I7:I11)='Core Results'!I11,SUM(I7:I11),"Error")</f>
        <v>7743</v>
      </c>
      <c r="J12" s="48">
        <f>IF(SUM(J7:J11)='Core Results'!J11,SUM(J7:J11),"Error")</f>
        <v>3023</v>
      </c>
      <c r="K12" s="48">
        <f>IF(SUM(K7:K11)='Core Results'!K11,SUM(K7:K11),"Error")</f>
        <v>-1830</v>
      </c>
      <c r="L12" s="48">
        <f>IF(SUM(H12+I12+J12+K12)='Core Results'!L11,SUM(H12+I12+J12+K12),"Error")</f>
        <v>11862</v>
      </c>
      <c r="M12" s="48">
        <f>IF(SUM(M7:M11)='Core Results'!M11,SUM(M7:M11),"Error")</f>
        <v>9557</v>
      </c>
      <c r="N12" s="48">
        <f>IF(SUM(N7:N11)='Core Results'!N11,SUM(N7:N11),"Error")</f>
        <v>8610</v>
      </c>
      <c r="O12" s="48">
        <f>IF(SUM(O7:O11)='Core Results'!O11,SUM(O7:O11),"Error")</f>
        <v>8917</v>
      </c>
      <c r="P12" s="48">
        <f>IF(SUM(P7:P11)='Core Results'!P11,SUM(P7:P11),"Error")</f>
        <v>6533</v>
      </c>
      <c r="Q12" s="48">
        <f>IF(SUM(M12+N12+O12+P12)='Core Results'!Q11,SUM(M12+N12+O12+P12),"Error")</f>
        <v>33617</v>
      </c>
      <c r="R12" s="48">
        <f>IF(SUM(R7:R11)='Core Results'!R11,SUM(R7:R11),"Error")</f>
        <v>8961</v>
      </c>
      <c r="S12" s="48">
        <f>IF(SUM(S7:S11)='Core Results'!S11,SUM(S7:S11),"Error")</f>
        <v>8420</v>
      </c>
      <c r="T12" s="48">
        <f>IF(SUM(T7:T11)='Core Results'!T11,SUM(T7:T11),"Error")</f>
        <v>6284</v>
      </c>
      <c r="U12" s="48">
        <f>IF(SUM(U7:U11)='Core Results'!U11,SUM(U7:U11),"Error")</f>
        <v>6960</v>
      </c>
      <c r="V12" s="48">
        <f>IF(SUM(R12+S12+T12+U12)='Core Results'!V11,SUM(R12+S12+T12+U12),"Error")</f>
        <v>30625</v>
      </c>
      <c r="W12" s="48">
        <f>IF(SUM(W7:W11)='Core Results'!W11,SUM(W7:W11),"Error")</f>
        <v>7813</v>
      </c>
      <c r="X12" s="48">
        <f>IF(SUM(X7:X11)='Core Results'!X11,SUM(X7:X11),"Error")</f>
        <v>6326</v>
      </c>
      <c r="Y12" s="48">
        <f>IF(SUM(Y7:Y11)='Core Results'!Y11,SUM(Y7:Y11),"Error")</f>
        <v>6817</v>
      </c>
      <c r="Z12" s="48">
        <f>IF(SUM(Z7:Z11)='Core Results'!Z11,SUM(Z7:Z11),"Error")</f>
        <v>4473</v>
      </c>
      <c r="AA12" s="48">
        <f>IF(SUM(W12+X12+Y12+Z12)='Core Results'!AA11,SUM(W12+X12+Y12+Z12),"Error")</f>
        <v>25429</v>
      </c>
    </row>
    <row r="13" spans="1:27" ht="17.25" customHeight="1">
      <c r="A13" s="7"/>
      <c r="B13" s="11"/>
      <c r="C13" s="16"/>
      <c r="D13" s="16"/>
      <c r="E13" s="9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7.25" customHeight="1">
      <c r="A14" s="7"/>
      <c r="B14" s="13" t="s">
        <v>160</v>
      </c>
      <c r="C14" s="16"/>
      <c r="D14" s="16"/>
      <c r="E14" s="16"/>
      <c r="F14" s="16"/>
      <c r="G14" s="16"/>
      <c r="H14" s="165"/>
      <c r="I14" s="165"/>
      <c r="J14" s="165"/>
      <c r="K14" s="165"/>
      <c r="L14" s="16"/>
      <c r="M14" s="165"/>
      <c r="N14" s="165"/>
      <c r="O14" s="165"/>
      <c r="P14" s="165"/>
      <c r="Q14" s="16"/>
      <c r="R14" s="165"/>
      <c r="S14" s="165"/>
      <c r="T14" s="165"/>
      <c r="U14" s="165"/>
      <c r="V14" s="16"/>
      <c r="W14" s="165"/>
      <c r="X14" s="165"/>
      <c r="Y14" s="165"/>
      <c r="Z14" s="165"/>
      <c r="AA14" s="16"/>
    </row>
    <row r="15" spans="1:27" s="20" customFormat="1" ht="17.25" customHeight="1">
      <c r="A15" s="7"/>
      <c r="B15" s="14" t="s">
        <v>76</v>
      </c>
      <c r="C15" s="117">
        <v>1247</v>
      </c>
      <c r="D15" s="117">
        <v>1192</v>
      </c>
      <c r="E15" s="117">
        <v>1018</v>
      </c>
      <c r="F15" s="117">
        <v>1223</v>
      </c>
      <c r="G15" s="15">
        <v>4746</v>
      </c>
      <c r="H15" s="166">
        <v>1218</v>
      </c>
      <c r="I15" s="166">
        <v>1052</v>
      </c>
      <c r="J15" s="166">
        <v>1213</v>
      </c>
      <c r="K15" s="166">
        <v>943</v>
      </c>
      <c r="L15" s="54">
        <f>SUM(H15:K15)</f>
        <v>4426</v>
      </c>
      <c r="M15" s="166">
        <v>952</v>
      </c>
      <c r="N15" s="166">
        <v>831</v>
      </c>
      <c r="O15" s="166">
        <v>728</v>
      </c>
      <c r="P15" s="166">
        <v>784</v>
      </c>
      <c r="Q15" s="54">
        <f>SUM(M15:P15)</f>
        <v>3295</v>
      </c>
      <c r="R15" s="166">
        <v>759</v>
      </c>
      <c r="S15" s="166">
        <v>819</v>
      </c>
      <c r="T15" s="166">
        <v>682</v>
      </c>
      <c r="U15" s="322">
        <v>653</v>
      </c>
      <c r="V15" s="54">
        <f>SUM(R15:U15)</f>
        <v>2913</v>
      </c>
      <c r="W15" s="322">
        <v>708</v>
      </c>
      <c r="X15" s="322">
        <v>761</v>
      </c>
      <c r="Y15" s="322">
        <v>627</v>
      </c>
      <c r="Z15" s="322">
        <v>422</v>
      </c>
      <c r="AA15" s="54">
        <f>SUM(W15:Z15)</f>
        <v>2518</v>
      </c>
    </row>
    <row r="16" spans="1:27" s="20" customFormat="1" ht="17.25" customHeight="1">
      <c r="A16" s="7"/>
      <c r="B16" s="17" t="s">
        <v>78</v>
      </c>
      <c r="C16" s="118">
        <v>1041</v>
      </c>
      <c r="D16" s="118">
        <v>1009</v>
      </c>
      <c r="E16" s="118">
        <v>506</v>
      </c>
      <c r="F16" s="118">
        <v>599</v>
      </c>
      <c r="G16" s="18">
        <v>3092</v>
      </c>
      <c r="H16" s="166">
        <v>-541</v>
      </c>
      <c r="I16" s="166">
        <v>-1124</v>
      </c>
      <c r="J16" s="166">
        <v>-1240</v>
      </c>
      <c r="K16" s="166">
        <v>-3737</v>
      </c>
      <c r="L16" s="55">
        <f>SUM(H16:K16)</f>
        <v>-6642</v>
      </c>
      <c r="M16" s="166">
        <v>491</v>
      </c>
      <c r="N16" s="166">
        <v>667</v>
      </c>
      <c r="O16" s="166">
        <v>783</v>
      </c>
      <c r="P16" s="166">
        <v>205</v>
      </c>
      <c r="Q16" s="55">
        <f>SUM(M16:P16)</f>
        <v>2146</v>
      </c>
      <c r="R16" s="166">
        <v>571</v>
      </c>
      <c r="S16" s="166">
        <v>178</v>
      </c>
      <c r="T16" s="166">
        <v>-113</v>
      </c>
      <c r="U16" s="322">
        <v>-219</v>
      </c>
      <c r="V16" s="55">
        <f>SUM(R16:U16)</f>
        <v>417</v>
      </c>
      <c r="W16" s="322">
        <v>309</v>
      </c>
      <c r="X16" s="322">
        <v>85</v>
      </c>
      <c r="Y16" s="322">
        <v>99</v>
      </c>
      <c r="Z16" s="322">
        <v>-200</v>
      </c>
      <c r="AA16" s="55">
        <f>SUM(W16:Z16)</f>
        <v>293</v>
      </c>
    </row>
    <row r="17" spans="1:27" s="20" customFormat="1" ht="17.25" customHeight="1">
      <c r="A17" s="7"/>
      <c r="B17" s="17" t="s">
        <v>183</v>
      </c>
      <c r="C17" s="118">
        <v>1160</v>
      </c>
      <c r="D17" s="118">
        <v>1381</v>
      </c>
      <c r="E17" s="118">
        <v>-511</v>
      </c>
      <c r="F17" s="118">
        <v>-1891</v>
      </c>
      <c r="G17" s="18">
        <v>127</v>
      </c>
      <c r="H17" s="166">
        <v>-3363</v>
      </c>
      <c r="I17" s="166">
        <v>1910</v>
      </c>
      <c r="J17" s="166">
        <v>-2167</v>
      </c>
      <c r="K17" s="166">
        <v>-3303</v>
      </c>
      <c r="L17" s="55">
        <f>SUM(H17:K17)</f>
        <v>-6923</v>
      </c>
      <c r="M17" s="166">
        <v>1352</v>
      </c>
      <c r="N17" s="166">
        <v>748</v>
      </c>
      <c r="O17" s="166">
        <v>1230</v>
      </c>
      <c r="P17" s="166">
        <v>932</v>
      </c>
      <c r="Q17" s="55">
        <f>SUM(M17:P17)</f>
        <v>4262</v>
      </c>
      <c r="R17" s="166">
        <v>1405</v>
      </c>
      <c r="S17" s="166">
        <v>659</v>
      </c>
      <c r="T17" s="166">
        <v>660</v>
      </c>
      <c r="U17" s="322">
        <v>1038</v>
      </c>
      <c r="V17" s="55">
        <f>SUM(R17:U17)</f>
        <v>3762</v>
      </c>
      <c r="W17" s="322">
        <v>1205</v>
      </c>
      <c r="X17" s="322">
        <v>381</v>
      </c>
      <c r="Y17" s="322">
        <v>-668</v>
      </c>
      <c r="Z17" s="322">
        <v>-794</v>
      </c>
      <c r="AA17" s="55">
        <f>SUM(W17:Z17)</f>
        <v>124</v>
      </c>
    </row>
    <row r="18" spans="1:27" s="20" customFormat="1" ht="17.25" customHeight="1">
      <c r="A18" s="7"/>
      <c r="B18" s="17" t="s">
        <v>86</v>
      </c>
      <c r="C18" s="118">
        <v>189</v>
      </c>
      <c r="D18" s="118">
        <v>561</v>
      </c>
      <c r="E18" s="118">
        <v>312</v>
      </c>
      <c r="F18" s="118">
        <v>296</v>
      </c>
      <c r="G18" s="18">
        <v>1367</v>
      </c>
      <c r="H18" s="166">
        <v>43</v>
      </c>
      <c r="I18" s="166">
        <v>-190</v>
      </c>
      <c r="J18" s="166">
        <v>-339</v>
      </c>
      <c r="K18" s="166">
        <v>-1502</v>
      </c>
      <c r="L18" s="55">
        <f>SUM(H18:K18)</f>
        <v>-1988</v>
      </c>
      <c r="M18" s="166">
        <v>121</v>
      </c>
      <c r="N18" s="166">
        <v>399</v>
      </c>
      <c r="O18" s="166">
        <v>183</v>
      </c>
      <c r="P18" s="166">
        <v>125</v>
      </c>
      <c r="Q18" s="55">
        <f>SUM(M18:P18)</f>
        <v>828</v>
      </c>
      <c r="R18" s="166">
        <v>117</v>
      </c>
      <c r="S18" s="166">
        <v>24</v>
      </c>
      <c r="T18" s="166">
        <v>137</v>
      </c>
      <c r="U18" s="322">
        <v>90</v>
      </c>
      <c r="V18" s="55">
        <f>SUM(R18:U18)</f>
        <v>368</v>
      </c>
      <c r="W18" s="322">
        <v>148</v>
      </c>
      <c r="X18" s="322">
        <v>49</v>
      </c>
      <c r="Y18" s="322">
        <v>27</v>
      </c>
      <c r="Z18" s="322">
        <v>-179</v>
      </c>
      <c r="AA18" s="55">
        <f>SUM(W18:Z18)</f>
        <v>45</v>
      </c>
    </row>
    <row r="19" spans="1:27" s="20" customFormat="1" ht="17.25" customHeight="1" thickBot="1">
      <c r="A19" s="7"/>
      <c r="B19" s="17" t="s">
        <v>28</v>
      </c>
      <c r="C19" s="55">
        <f>+'Corporate Center'!C14</f>
        <v>-89</v>
      </c>
      <c r="D19" s="55">
        <f>+'Corporate Center'!D14</f>
        <v>-57</v>
      </c>
      <c r="E19" s="55">
        <f>+'Corporate Center'!E14</f>
        <v>-8</v>
      </c>
      <c r="F19" s="55">
        <f>+'Corporate Center'!F14</f>
        <v>-38</v>
      </c>
      <c r="G19" s="55">
        <f>+'Corporate Center'!G14</f>
        <v>-192</v>
      </c>
      <c r="H19" s="55">
        <f>+'Corporate Center'!H14</f>
        <v>62</v>
      </c>
      <c r="I19" s="55">
        <f>+'Corporate Center'!I14</f>
        <v>-69</v>
      </c>
      <c r="J19" s="55">
        <f>+'Corporate Center'!J14</f>
        <v>32</v>
      </c>
      <c r="K19" s="55">
        <f>+'Corporate Center'!K14</f>
        <v>-1061</v>
      </c>
      <c r="L19" s="55">
        <f>+'Corporate Center'!L14</f>
        <v>-1036</v>
      </c>
      <c r="M19" s="55">
        <f>+'Corporate Center'!M14</f>
        <v>138</v>
      </c>
      <c r="N19" s="55">
        <f>+'Corporate Center'!N14</f>
        <v>-1081</v>
      </c>
      <c r="O19" s="55">
        <f>+'Corporate Center'!O14</f>
        <v>-304</v>
      </c>
      <c r="P19" s="55">
        <f>+'Corporate Center'!P14</f>
        <v>-701</v>
      </c>
      <c r="Q19" s="55">
        <f>+'Corporate Center'!Q14</f>
        <v>-1948</v>
      </c>
      <c r="R19" s="55">
        <f>+'Corporate Center'!R14</f>
        <v>82</v>
      </c>
      <c r="S19" s="55">
        <f>+'Corporate Center'!S14</f>
        <v>126</v>
      </c>
      <c r="T19" s="55">
        <v>-613</v>
      </c>
      <c r="U19" s="55">
        <v>-255</v>
      </c>
      <c r="V19" s="55">
        <f>+'Corporate Center'!V14</f>
        <v>-660</v>
      </c>
      <c r="W19" s="55">
        <v>-745</v>
      </c>
      <c r="X19" s="55">
        <v>-190</v>
      </c>
      <c r="Y19" s="55">
        <v>951</v>
      </c>
      <c r="Z19" s="55">
        <v>-247</v>
      </c>
      <c r="AA19" s="55">
        <f>+'Corporate Center'!AA14</f>
        <v>-231</v>
      </c>
    </row>
    <row r="20" spans="1:27" ht="28.5" customHeight="1" thickBot="1">
      <c r="A20" s="7"/>
      <c r="B20" s="142" t="s">
        <v>98</v>
      </c>
      <c r="C20" s="48">
        <f>IF(SUM(C15:C19)='Core Results'!C18,SUM(C15:C19),"Error")</f>
        <v>3548</v>
      </c>
      <c r="D20" s="48">
        <f>IF(SUM(D15:D19)='Core Results'!D18,SUM(D15:D19),"Error")</f>
        <v>4086</v>
      </c>
      <c r="E20" s="48">
        <f>IF(SUM(E15:E19)='Core Results'!E18,SUM(E15:E19),"Error")</f>
        <v>1317</v>
      </c>
      <c r="F20" s="48">
        <f>IF(SUM(F15:F19)='Core Results'!F18,SUM(F15:F19),"Error")</f>
        <v>189</v>
      </c>
      <c r="G20" s="48">
        <f>IF(SUM(C20+D20+E20+F20)='Core Results'!G18,SUM(C20+D20+E20+F20),"Error")</f>
        <v>9140</v>
      </c>
      <c r="H20" s="48">
        <f>IF(SUM(H15:H19)='Core Results'!H18,SUM(H15:H19),"Error")</f>
        <v>-2581</v>
      </c>
      <c r="I20" s="48">
        <f>IF(SUM(I15:I19)='Core Results'!I18,SUM(I15:I19),"Error")</f>
        <v>1579</v>
      </c>
      <c r="J20" s="48">
        <f>IF(SUM(J15:J19)='Core Results'!J18,SUM(J15:J19),"Error")</f>
        <v>-2501</v>
      </c>
      <c r="K20" s="48">
        <f>IF(SUM(K15:K19)='Core Results'!K18,SUM(K15:K19),"Error")</f>
        <v>-8660</v>
      </c>
      <c r="L20" s="48">
        <f>IF(SUM(H20+I20+J20+K20)='Core Results'!L18,SUM(H20+I20+J20+K20),"Error")</f>
        <v>-12163</v>
      </c>
      <c r="M20" s="48">
        <f>IF(SUM(M15:M19)='Core Results'!M18,SUM(M15:M19),"Error")</f>
        <v>3054</v>
      </c>
      <c r="N20" s="48">
        <f>IF(SUM(N15:N19)='Core Results'!N18,SUM(N15:N19),"Error")</f>
        <v>1564</v>
      </c>
      <c r="O20" s="48">
        <f>IF(SUM(O15:O19)='Core Results'!O18,SUM(O15:O19),"Error")</f>
        <v>2620</v>
      </c>
      <c r="P20" s="48">
        <f>IF(SUM(P15:P19)='Core Results'!P18,SUM(P15:P19),"Error")</f>
        <v>1345</v>
      </c>
      <c r="Q20" s="48">
        <f>IF(SUM(M20+N20+O20+P20)='Core Results'!Q18,SUM(M20+N20+O20+P20),"Error")</f>
        <v>8583</v>
      </c>
      <c r="R20" s="48">
        <f>IF(SUM(R15:R19)='Core Results'!R18,SUM(R15:R19),"Error")</f>
        <v>2934</v>
      </c>
      <c r="S20" s="48">
        <f>IF(SUM(S15:S19)='Core Results'!S18,SUM(S15:S19),"Error")</f>
        <v>1806</v>
      </c>
      <c r="T20" s="48">
        <f>IF(SUM(T15:T19)='Core Results'!T18,SUM(T15:T19),"Error")</f>
        <v>753</v>
      </c>
      <c r="U20" s="48">
        <f>IF(SUM(U15:U19)='Core Results'!U18,SUM(U15:U19),"Error")</f>
        <v>1307</v>
      </c>
      <c r="V20" s="48">
        <f>IF(SUM(R20+S20+T20+U20)='Core Results'!V18,SUM(R20+S20+T20+U20),"Error")</f>
        <v>6800</v>
      </c>
      <c r="W20" s="48">
        <f>IF(SUM(W15:W19)='Core Results'!W18,SUM(W15:W19),"Error")</f>
        <v>1625</v>
      </c>
      <c r="X20" s="48">
        <f>IF(SUM(X15:X19)='Core Results'!X18,SUM(X15:X19),"Error")</f>
        <v>1086</v>
      </c>
      <c r="Y20" s="48">
        <f>IF(SUM(Y15:Y19)='Core Results'!Y18,SUM(Y15:Y19),"Error")</f>
        <v>1036</v>
      </c>
      <c r="Z20" s="48">
        <f>IF(SUM(Z15:Z19)='Core Results'!Z18,SUM(Z15:Z19),"Error")</f>
        <v>-998</v>
      </c>
      <c r="AA20" s="48">
        <f>IF(SUM(W20+X20+Y20+Z20)='Core Results'!AA18,SUM(W20+X20+Y20+Z20),"Error")</f>
        <v>2749</v>
      </c>
    </row>
    <row r="21" spans="1:27" ht="17.25" customHeight="1">
      <c r="A21" s="7"/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7.2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7.25" customHeight="1">
      <c r="A23" s="7"/>
      <c r="B23" s="3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20" customFormat="1" ht="17.25" customHeight="1">
      <c r="A24" s="289" t="s">
        <v>110</v>
      </c>
      <c r="B24" s="21" t="s">
        <v>185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AA12 C20:AA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5" r:id="rId1"/>
  <headerFooter alignWithMargins="0">
    <oddFooter>&amp;C&amp;A</oddFooter>
  </headerFooter>
  <ignoredErrors>
    <ignoredError sqref="L15:L18 L7:L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="80" zoomScaleNormal="80" zoomScalePageLayoutView="0" workbookViewId="0" topLeftCell="A1">
      <pane xSplit="2" ySplit="2" topLeftCell="H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H3" sqref="H3"/>
    </sheetView>
  </sheetViews>
  <sheetFormatPr defaultColWidth="1.7109375" defaultRowHeight="17.25" customHeight="1" outlineLevelCol="1"/>
  <cols>
    <col min="1" max="1" width="2.7109375" style="1" customWidth="1"/>
    <col min="2" max="2" width="40.0039062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9" width="11.57421875" style="1" customWidth="1"/>
    <col min="30" max="16384" width="1.7109375" style="1" customWidth="1"/>
  </cols>
  <sheetData>
    <row r="1" spans="1:23" ht="21.75" customHeight="1">
      <c r="A1" s="2"/>
      <c r="B1" s="421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.75" customHeight="1">
      <c r="A2" s="4"/>
      <c r="B2" s="422"/>
      <c r="C2" s="6">
        <v>2007</v>
      </c>
      <c r="D2" s="5" t="s">
        <v>74</v>
      </c>
      <c r="E2" s="5" t="s">
        <v>95</v>
      </c>
      <c r="F2" s="5" t="s">
        <v>96</v>
      </c>
      <c r="G2" s="5" t="s">
        <v>97</v>
      </c>
      <c r="H2" s="6">
        <v>2008</v>
      </c>
      <c r="I2" s="5" t="s">
        <v>112</v>
      </c>
      <c r="J2" s="5" t="s">
        <v>124</v>
      </c>
      <c r="K2" s="5" t="s">
        <v>152</v>
      </c>
      <c r="L2" s="5" t="s">
        <v>166</v>
      </c>
      <c r="M2" s="6">
        <v>2009</v>
      </c>
      <c r="N2" s="5" t="s">
        <v>168</v>
      </c>
      <c r="O2" s="5" t="s">
        <v>177</v>
      </c>
      <c r="P2" s="5" t="s">
        <v>181</v>
      </c>
      <c r="Q2" s="5" t="s">
        <v>182</v>
      </c>
      <c r="R2" s="6">
        <v>2010</v>
      </c>
      <c r="S2" s="5" t="s">
        <v>184</v>
      </c>
      <c r="T2" s="5" t="s">
        <v>220</v>
      </c>
      <c r="U2" s="5" t="s">
        <v>225</v>
      </c>
      <c r="V2" s="5" t="s">
        <v>226</v>
      </c>
      <c r="W2" s="6">
        <v>2011</v>
      </c>
    </row>
    <row r="3" spans="1:23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6.5" thickBot="1">
      <c r="A4" s="7"/>
      <c r="B4" s="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s="20" customFormat="1" ht="17.25" customHeight="1" thickTop="1">
      <c r="A5" s="7"/>
      <c r="B5" s="37"/>
      <c r="C5" s="52"/>
      <c r="D5" s="52"/>
      <c r="E5" s="52"/>
      <c r="F5" s="155"/>
      <c r="G5" s="155"/>
      <c r="H5" s="155"/>
      <c r="I5" s="52"/>
      <c r="J5" s="52"/>
      <c r="K5" s="52"/>
      <c r="L5" s="155"/>
      <c r="M5" s="155"/>
      <c r="N5" s="52"/>
      <c r="O5" s="52"/>
      <c r="P5" s="52"/>
      <c r="Q5" s="155"/>
      <c r="R5" s="155"/>
      <c r="S5" s="52"/>
      <c r="T5" s="52"/>
      <c r="U5" s="52"/>
      <c r="V5" s="52"/>
      <c r="W5" s="155"/>
    </row>
    <row r="6" spans="1:23" ht="17.25" customHeight="1">
      <c r="A6" s="7"/>
      <c r="B6" s="13" t="s">
        <v>113</v>
      </c>
      <c r="C6" s="16"/>
      <c r="D6" s="16"/>
      <c r="E6" s="16"/>
      <c r="F6" s="156"/>
      <c r="G6" s="156"/>
      <c r="H6" s="156"/>
      <c r="I6" s="16"/>
      <c r="J6" s="16"/>
      <c r="K6" s="16"/>
      <c r="L6" s="156"/>
      <c r="M6" s="156"/>
      <c r="N6" s="16"/>
      <c r="O6" s="16"/>
      <c r="P6" s="16"/>
      <c r="Q6" s="156"/>
      <c r="R6" s="156"/>
      <c r="S6" s="16"/>
      <c r="T6" s="16"/>
      <c r="U6" s="16"/>
      <c r="V6" s="16"/>
      <c r="W6" s="156"/>
    </row>
    <row r="7" spans="1:23" ht="17.25" customHeight="1" thickBot="1">
      <c r="A7" s="7"/>
      <c r="B7" s="30" t="s">
        <v>14</v>
      </c>
      <c r="C7" s="221">
        <v>13522</v>
      </c>
      <c r="D7" s="221">
        <v>3355</v>
      </c>
      <c r="E7" s="221">
        <v>3265</v>
      </c>
      <c r="F7" s="285">
        <v>3148</v>
      </c>
      <c r="G7" s="285">
        <v>3139</v>
      </c>
      <c r="H7" s="286">
        <f>SUM(D7:G7)</f>
        <v>12907</v>
      </c>
      <c r="I7" s="285">
        <v>2878</v>
      </c>
      <c r="J7" s="285">
        <v>2951</v>
      </c>
      <c r="K7" s="285">
        <v>2833</v>
      </c>
      <c r="L7" s="285">
        <v>3000</v>
      </c>
      <c r="M7" s="286">
        <f>SUM(I7:L7)</f>
        <v>11662</v>
      </c>
      <c r="N7" s="285">
        <v>2900</v>
      </c>
      <c r="O7" s="285">
        <v>2991</v>
      </c>
      <c r="P7" s="285">
        <v>2826</v>
      </c>
      <c r="Q7" s="221">
        <v>2914</v>
      </c>
      <c r="R7" s="223">
        <f>SUM(N7:Q7)</f>
        <v>11631</v>
      </c>
      <c r="S7" s="221">
        <v>2896</v>
      </c>
      <c r="T7" s="221">
        <v>2797</v>
      </c>
      <c r="U7" s="221">
        <v>2610</v>
      </c>
      <c r="V7" s="221">
        <v>2574</v>
      </c>
      <c r="W7" s="223">
        <f>SUM(S7:V7)</f>
        <v>10877</v>
      </c>
    </row>
    <row r="8" spans="1:23" s="20" customFormat="1" ht="17.25" customHeight="1" thickBot="1">
      <c r="A8" s="7"/>
      <c r="B8" s="30" t="s">
        <v>15</v>
      </c>
      <c r="C8" s="221">
        <v>-59</v>
      </c>
      <c r="D8" s="221">
        <v>-5</v>
      </c>
      <c r="E8" s="221">
        <v>-5</v>
      </c>
      <c r="F8" s="221">
        <v>13</v>
      </c>
      <c r="G8" s="221">
        <v>130</v>
      </c>
      <c r="H8" s="223">
        <f>SUM(D8:G8)</f>
        <v>133</v>
      </c>
      <c r="I8" s="221">
        <v>47</v>
      </c>
      <c r="J8" s="221">
        <v>72</v>
      </c>
      <c r="K8" s="221">
        <v>35</v>
      </c>
      <c r="L8" s="221">
        <v>26</v>
      </c>
      <c r="M8" s="223">
        <f>SUM(I8:L8)</f>
        <v>180</v>
      </c>
      <c r="N8" s="221">
        <v>19</v>
      </c>
      <c r="O8" s="221">
        <v>3</v>
      </c>
      <c r="P8" s="221">
        <v>-8</v>
      </c>
      <c r="Q8" s="221">
        <v>4</v>
      </c>
      <c r="R8" s="223">
        <f>SUM(N8:Q8)</f>
        <v>18</v>
      </c>
      <c r="S8" s="221">
        <v>12</v>
      </c>
      <c r="T8" s="221">
        <v>-2</v>
      </c>
      <c r="U8" s="221">
        <v>25</v>
      </c>
      <c r="V8" s="221">
        <v>75</v>
      </c>
      <c r="W8" s="223">
        <f>SUM(S8:V8)</f>
        <v>110</v>
      </c>
    </row>
    <row r="9" spans="1:23" ht="17.25" customHeight="1">
      <c r="A9" s="7"/>
      <c r="B9" s="32" t="s">
        <v>16</v>
      </c>
      <c r="C9" s="191">
        <v>4529</v>
      </c>
      <c r="D9" s="191">
        <v>1161</v>
      </c>
      <c r="E9" s="191">
        <v>1160</v>
      </c>
      <c r="F9" s="249">
        <v>1122</v>
      </c>
      <c r="G9" s="249">
        <v>817</v>
      </c>
      <c r="H9" s="250">
        <f>SUM(D9:G9)</f>
        <v>4260</v>
      </c>
      <c r="I9" s="249">
        <v>1151</v>
      </c>
      <c r="J9" s="249">
        <v>1156</v>
      </c>
      <c r="K9" s="249">
        <v>1131</v>
      </c>
      <c r="L9" s="249">
        <v>1213</v>
      </c>
      <c r="M9" s="250">
        <f>SUM(I9:L9)</f>
        <v>4651</v>
      </c>
      <c r="N9" s="249">
        <v>1183</v>
      </c>
      <c r="O9" s="249">
        <v>1214</v>
      </c>
      <c r="P9" s="249">
        <v>1139</v>
      </c>
      <c r="Q9" s="191">
        <v>1201</v>
      </c>
      <c r="R9" s="318">
        <f>SUM(N9:Q9)</f>
        <v>4737</v>
      </c>
      <c r="S9" s="191">
        <v>1224</v>
      </c>
      <c r="T9" s="191">
        <v>1135</v>
      </c>
      <c r="U9" s="191">
        <v>1115</v>
      </c>
      <c r="V9" s="191">
        <v>1127</v>
      </c>
      <c r="W9" s="318">
        <f>SUM(S9:V9)</f>
        <v>4601</v>
      </c>
    </row>
    <row r="10" spans="1:23" ht="17.25" customHeight="1">
      <c r="A10" s="7"/>
      <c r="B10" s="26" t="s">
        <v>17</v>
      </c>
      <c r="C10" s="192">
        <v>2670</v>
      </c>
      <c r="D10" s="192">
        <v>666</v>
      </c>
      <c r="E10" s="192">
        <v>698</v>
      </c>
      <c r="F10" s="193">
        <v>1053</v>
      </c>
      <c r="G10" s="193">
        <v>1502</v>
      </c>
      <c r="H10" s="251">
        <f>SUM(D10:G10)</f>
        <v>3919</v>
      </c>
      <c r="I10" s="193">
        <v>543</v>
      </c>
      <c r="J10" s="193">
        <v>633</v>
      </c>
      <c r="K10" s="193">
        <v>643</v>
      </c>
      <c r="L10" s="193">
        <v>761</v>
      </c>
      <c r="M10" s="251">
        <f>SUM(I10:L10)</f>
        <v>2580</v>
      </c>
      <c r="N10" s="193">
        <v>638</v>
      </c>
      <c r="O10" s="193">
        <v>728</v>
      </c>
      <c r="P10" s="193">
        <v>715</v>
      </c>
      <c r="Q10" s="192">
        <v>712</v>
      </c>
      <c r="R10" s="199">
        <f>SUM(N10:Q10)</f>
        <v>2793</v>
      </c>
      <c r="S10" s="192">
        <v>621</v>
      </c>
      <c r="T10" s="192">
        <v>664</v>
      </c>
      <c r="U10" s="192">
        <v>1134</v>
      </c>
      <c r="V10" s="192">
        <v>757</v>
      </c>
      <c r="W10" s="199">
        <f>SUM(S10:V10)</f>
        <v>3176</v>
      </c>
    </row>
    <row r="11" spans="1:23" s="20" customFormat="1" ht="17.25" customHeight="1">
      <c r="A11" s="7"/>
      <c r="B11" s="31" t="s">
        <v>18</v>
      </c>
      <c r="C11" s="194">
        <v>896</v>
      </c>
      <c r="D11" s="194">
        <v>209</v>
      </c>
      <c r="E11" s="194">
        <v>192</v>
      </c>
      <c r="F11" s="205">
        <v>171</v>
      </c>
      <c r="G11" s="196">
        <v>173</v>
      </c>
      <c r="H11" s="219">
        <f>SUM(D11:G11)</f>
        <v>745</v>
      </c>
      <c r="I11" s="205">
        <v>145</v>
      </c>
      <c r="J11" s="205">
        <v>155</v>
      </c>
      <c r="K11" s="205">
        <v>157</v>
      </c>
      <c r="L11" s="196">
        <v>143</v>
      </c>
      <c r="M11" s="219">
        <f>SUM(I11:L11)</f>
        <v>600</v>
      </c>
      <c r="N11" s="205">
        <v>168</v>
      </c>
      <c r="O11" s="205">
        <v>172</v>
      </c>
      <c r="P11" s="205">
        <v>144</v>
      </c>
      <c r="Q11" s="195">
        <v>173</v>
      </c>
      <c r="R11" s="200">
        <f>SUM(N11:Q11)</f>
        <v>657</v>
      </c>
      <c r="S11" s="194">
        <v>184</v>
      </c>
      <c r="T11" s="194">
        <v>157</v>
      </c>
      <c r="U11" s="194">
        <v>153</v>
      </c>
      <c r="V11" s="194">
        <v>148</v>
      </c>
      <c r="W11" s="200">
        <f>SUM(S11:V11)</f>
        <v>642</v>
      </c>
    </row>
    <row r="12" spans="1:23" s="20" customFormat="1" ht="17.25" customHeight="1">
      <c r="A12" s="7"/>
      <c r="B12" s="32" t="s">
        <v>19</v>
      </c>
      <c r="C12" s="206">
        <f aca="true" t="shared" si="0" ref="C12:P12">+C11+C10</f>
        <v>3566</v>
      </c>
      <c r="D12" s="206">
        <f t="shared" si="0"/>
        <v>875</v>
      </c>
      <c r="E12" s="206">
        <f t="shared" si="0"/>
        <v>890</v>
      </c>
      <c r="F12" s="206">
        <f t="shared" si="0"/>
        <v>1224</v>
      </c>
      <c r="G12" s="206">
        <f t="shared" si="0"/>
        <v>1675</v>
      </c>
      <c r="H12" s="218">
        <f t="shared" si="0"/>
        <v>4664</v>
      </c>
      <c r="I12" s="206">
        <f t="shared" si="0"/>
        <v>688</v>
      </c>
      <c r="J12" s="206">
        <f t="shared" si="0"/>
        <v>788</v>
      </c>
      <c r="K12" s="206">
        <f t="shared" si="0"/>
        <v>800</v>
      </c>
      <c r="L12" s="206">
        <f>+L11+L10</f>
        <v>904</v>
      </c>
      <c r="M12" s="218">
        <f t="shared" si="0"/>
        <v>3180</v>
      </c>
      <c r="N12" s="206">
        <f t="shared" si="0"/>
        <v>806</v>
      </c>
      <c r="O12" s="206">
        <f t="shared" si="0"/>
        <v>900</v>
      </c>
      <c r="P12" s="206">
        <f t="shared" si="0"/>
        <v>859</v>
      </c>
      <c r="Q12" s="206">
        <f aca="true" t="shared" si="1" ref="Q12:W12">+Q11+Q10</f>
        <v>885</v>
      </c>
      <c r="R12" s="218">
        <f t="shared" si="1"/>
        <v>3450</v>
      </c>
      <c r="S12" s="206">
        <f t="shared" si="1"/>
        <v>805</v>
      </c>
      <c r="T12" s="206">
        <f t="shared" si="1"/>
        <v>821</v>
      </c>
      <c r="U12" s="206">
        <f t="shared" si="1"/>
        <v>1287</v>
      </c>
      <c r="V12" s="206">
        <f t="shared" si="1"/>
        <v>905</v>
      </c>
      <c r="W12" s="218">
        <f t="shared" si="1"/>
        <v>3818</v>
      </c>
    </row>
    <row r="13" spans="1:23" s="20" customFormat="1" ht="17.25" customHeight="1" thickBot="1">
      <c r="A13" s="7"/>
      <c r="B13" s="30" t="s">
        <v>20</v>
      </c>
      <c r="C13" s="190">
        <f>(C9+C12)</f>
        <v>8095</v>
      </c>
      <c r="D13" s="190">
        <f aca="true" t="shared" si="2" ref="D13:P13">(D9+D12)</f>
        <v>2036</v>
      </c>
      <c r="E13" s="190">
        <f t="shared" si="2"/>
        <v>2050</v>
      </c>
      <c r="F13" s="190">
        <f t="shared" si="2"/>
        <v>2346</v>
      </c>
      <c r="G13" s="190">
        <f t="shared" si="2"/>
        <v>2492</v>
      </c>
      <c r="H13" s="190">
        <f t="shared" si="2"/>
        <v>8924</v>
      </c>
      <c r="I13" s="190">
        <f t="shared" si="2"/>
        <v>1839</v>
      </c>
      <c r="J13" s="190">
        <f t="shared" si="2"/>
        <v>1944</v>
      </c>
      <c r="K13" s="190">
        <f t="shared" si="2"/>
        <v>1931</v>
      </c>
      <c r="L13" s="190">
        <f>(L9+L12)</f>
        <v>2117</v>
      </c>
      <c r="M13" s="190">
        <f t="shared" si="2"/>
        <v>7831</v>
      </c>
      <c r="N13" s="190">
        <f t="shared" si="2"/>
        <v>1989</v>
      </c>
      <c r="O13" s="190">
        <f t="shared" si="2"/>
        <v>2114</v>
      </c>
      <c r="P13" s="190">
        <f t="shared" si="2"/>
        <v>1998</v>
      </c>
      <c r="Q13" s="190">
        <f aca="true" t="shared" si="3" ref="Q13:W13">(Q9+Q12)</f>
        <v>2086</v>
      </c>
      <c r="R13" s="190">
        <f t="shared" si="3"/>
        <v>8187</v>
      </c>
      <c r="S13" s="190">
        <f t="shared" si="3"/>
        <v>2029</v>
      </c>
      <c r="T13" s="190">
        <f t="shared" si="3"/>
        <v>1956</v>
      </c>
      <c r="U13" s="190">
        <f t="shared" si="3"/>
        <v>2402</v>
      </c>
      <c r="V13" s="190">
        <f t="shared" si="3"/>
        <v>2032</v>
      </c>
      <c r="W13" s="190">
        <f t="shared" si="3"/>
        <v>8419</v>
      </c>
    </row>
    <row r="14" spans="1:23" s="20" customFormat="1" ht="17.25" customHeight="1" thickBot="1">
      <c r="A14" s="7"/>
      <c r="B14" s="46" t="s">
        <v>108</v>
      </c>
      <c r="C14" s="190">
        <f>IF((+C7-C8-C13)=C15+C16,(+C7-C8-C13),"Error")</f>
        <v>5486</v>
      </c>
      <c r="D14" s="190">
        <f aca="true" t="shared" si="4" ref="D14:J14">IF((+D7-D8-D13)=D15+D16,(+D7-D8-D13),"Error")</f>
        <v>1324</v>
      </c>
      <c r="E14" s="190">
        <f t="shared" si="4"/>
        <v>1220</v>
      </c>
      <c r="F14" s="190">
        <f t="shared" si="4"/>
        <v>789</v>
      </c>
      <c r="G14" s="190">
        <f t="shared" si="4"/>
        <v>517</v>
      </c>
      <c r="H14" s="190">
        <f t="shared" si="4"/>
        <v>3850</v>
      </c>
      <c r="I14" s="190">
        <f t="shared" si="4"/>
        <v>992</v>
      </c>
      <c r="J14" s="190">
        <f t="shared" si="4"/>
        <v>935</v>
      </c>
      <c r="K14" s="190">
        <f aca="true" t="shared" si="5" ref="K14:P14">IF((+K7-K8-K13)=K15+K16,(+K7-K8-K13),"Error")</f>
        <v>867</v>
      </c>
      <c r="L14" s="190">
        <f t="shared" si="5"/>
        <v>857</v>
      </c>
      <c r="M14" s="190">
        <f t="shared" si="5"/>
        <v>3651</v>
      </c>
      <c r="N14" s="190">
        <f t="shared" si="5"/>
        <v>892</v>
      </c>
      <c r="O14" s="190">
        <f t="shared" si="5"/>
        <v>874</v>
      </c>
      <c r="P14" s="190">
        <f t="shared" si="5"/>
        <v>836</v>
      </c>
      <c r="Q14" s="190">
        <f aca="true" t="shared" si="6" ref="Q14:W14">IF((+Q7-Q8-Q13)=Q15+Q16,(+Q7-Q8-Q13),"Error")</f>
        <v>824</v>
      </c>
      <c r="R14" s="190">
        <f t="shared" si="6"/>
        <v>3426</v>
      </c>
      <c r="S14" s="190">
        <f t="shared" si="6"/>
        <v>855</v>
      </c>
      <c r="T14" s="190">
        <f t="shared" si="6"/>
        <v>843</v>
      </c>
      <c r="U14" s="190">
        <f t="shared" si="6"/>
        <v>183</v>
      </c>
      <c r="V14" s="190">
        <f t="shared" si="6"/>
        <v>467</v>
      </c>
      <c r="W14" s="190">
        <f t="shared" si="6"/>
        <v>2348</v>
      </c>
    </row>
    <row r="15" spans="1:23" s="20" customFormat="1" ht="17.25" customHeight="1">
      <c r="A15" s="7"/>
      <c r="B15" s="181" t="s">
        <v>134</v>
      </c>
      <c r="C15" s="198">
        <f>+WMC!C10</f>
        <v>4401</v>
      </c>
      <c r="D15" s="198">
        <f>+WMC!D10</f>
        <v>969</v>
      </c>
      <c r="E15" s="198">
        <f>+WMC!E10</f>
        <v>934</v>
      </c>
      <c r="F15" s="198">
        <f>+WMC!F10</f>
        <v>489</v>
      </c>
      <c r="G15" s="198">
        <f>+WMC!G10</f>
        <v>117</v>
      </c>
      <c r="H15" s="198">
        <f>+WMC!H10</f>
        <v>2509</v>
      </c>
      <c r="I15" s="198">
        <f>+WMC!I10</f>
        <v>724</v>
      </c>
      <c r="J15" s="198">
        <f>+WMC!J10</f>
        <v>759</v>
      </c>
      <c r="K15" s="198">
        <f>+WMC!K10</f>
        <v>723</v>
      </c>
      <c r="L15" s="198">
        <f>WMC!L10</f>
        <v>692</v>
      </c>
      <c r="M15" s="198">
        <f>WMC!M10</f>
        <v>2898</v>
      </c>
      <c r="N15" s="198">
        <v>677</v>
      </c>
      <c r="O15" s="198">
        <v>633</v>
      </c>
      <c r="P15" s="198">
        <v>612</v>
      </c>
      <c r="Q15" s="198">
        <f>WMC!Q10</f>
        <v>606</v>
      </c>
      <c r="R15" s="198">
        <f>WMC!R10</f>
        <v>2528</v>
      </c>
      <c r="S15" s="198">
        <v>623</v>
      </c>
      <c r="T15" s="198">
        <v>595</v>
      </c>
      <c r="U15" s="198">
        <v>-34</v>
      </c>
      <c r="V15" s="198">
        <v>284</v>
      </c>
      <c r="W15" s="198">
        <f>WMC!W10</f>
        <v>1468</v>
      </c>
    </row>
    <row r="16" spans="1:23" s="20" customFormat="1" ht="17.25" customHeight="1">
      <c r="A16" s="7"/>
      <c r="B16" s="184" t="s">
        <v>135</v>
      </c>
      <c r="C16" s="195">
        <f>+CIC!C10</f>
        <v>1085</v>
      </c>
      <c r="D16" s="195">
        <f>+CIC!D10</f>
        <v>355</v>
      </c>
      <c r="E16" s="195">
        <f>+CIC!E10</f>
        <v>286</v>
      </c>
      <c r="F16" s="195">
        <f>+CIC!F10</f>
        <v>300</v>
      </c>
      <c r="G16" s="195">
        <f>+CIC!G10</f>
        <v>400</v>
      </c>
      <c r="H16" s="195">
        <f>+CIC!H10</f>
        <v>1341</v>
      </c>
      <c r="I16" s="195">
        <f>+CIC!I10</f>
        <v>268</v>
      </c>
      <c r="J16" s="195">
        <f>+CIC!J10</f>
        <v>176</v>
      </c>
      <c r="K16" s="195">
        <f>+CIC!K10</f>
        <v>144</v>
      </c>
      <c r="L16" s="195">
        <f>CIC!L10</f>
        <v>165</v>
      </c>
      <c r="M16" s="195">
        <f>CIC!M10</f>
        <v>753</v>
      </c>
      <c r="N16" s="195">
        <v>215</v>
      </c>
      <c r="O16" s="195">
        <v>241</v>
      </c>
      <c r="P16" s="195">
        <v>224</v>
      </c>
      <c r="Q16" s="195">
        <f>CIC!Q10</f>
        <v>218</v>
      </c>
      <c r="R16" s="195">
        <f>CIC!R10</f>
        <v>898</v>
      </c>
      <c r="S16" s="195">
        <v>232</v>
      </c>
      <c r="T16" s="195">
        <v>248</v>
      </c>
      <c r="U16" s="195">
        <v>217</v>
      </c>
      <c r="V16" s="195">
        <v>183</v>
      </c>
      <c r="W16" s="195">
        <f>CIC!W10</f>
        <v>880</v>
      </c>
    </row>
    <row r="17" spans="1:23" ht="17.25" customHeight="1">
      <c r="A17" s="7"/>
      <c r="B17" s="11"/>
      <c r="C17" s="16"/>
      <c r="D17" s="16"/>
      <c r="E17" s="16"/>
      <c r="F17" s="156"/>
      <c r="G17" s="156"/>
      <c r="H17" s="16"/>
      <c r="I17" s="156"/>
      <c r="J17" s="156"/>
      <c r="K17" s="156"/>
      <c r="L17" s="156"/>
      <c r="M17" s="16"/>
      <c r="N17" s="156"/>
      <c r="O17" s="156"/>
      <c r="P17" s="156"/>
      <c r="Q17" s="16"/>
      <c r="R17" s="16"/>
      <c r="S17" s="156"/>
      <c r="T17" s="156"/>
      <c r="U17" s="156"/>
      <c r="V17" s="156"/>
      <c r="W17" s="16"/>
    </row>
    <row r="18" spans="1:23" ht="17.25" customHeight="1">
      <c r="A18" s="7"/>
      <c r="B18" s="13" t="s">
        <v>114</v>
      </c>
      <c r="C18" s="16"/>
      <c r="D18" s="16"/>
      <c r="E18" s="16"/>
      <c r="F18" s="156"/>
      <c r="G18" s="156"/>
      <c r="H18" s="16"/>
      <c r="I18" s="156"/>
      <c r="J18" s="156"/>
      <c r="K18" s="156"/>
      <c r="L18" s="156"/>
      <c r="M18" s="16"/>
      <c r="N18" s="156"/>
      <c r="O18" s="156"/>
      <c r="P18" s="156"/>
      <c r="Q18" s="16"/>
      <c r="R18" s="16"/>
      <c r="S18" s="156"/>
      <c r="T18" s="156"/>
      <c r="U18" s="156"/>
      <c r="V18" s="156"/>
      <c r="W18" s="16"/>
    </row>
    <row r="19" spans="1:23" ht="17.25" customHeight="1">
      <c r="A19" s="7"/>
      <c r="B19" s="32" t="s">
        <v>42</v>
      </c>
      <c r="C19" s="235">
        <f>+C13/C7*100</f>
        <v>59.9</v>
      </c>
      <c r="D19" s="235">
        <f>+D13/D7*100</f>
        <v>60.7</v>
      </c>
      <c r="E19" s="235">
        <f aca="true" t="shared" si="7" ref="E19:J19">+E13/E7*100</f>
        <v>62.8</v>
      </c>
      <c r="F19" s="246">
        <f t="shared" si="7"/>
        <v>74.5</v>
      </c>
      <c r="G19" s="246">
        <f t="shared" si="7"/>
        <v>79.4</v>
      </c>
      <c r="H19" s="246">
        <f t="shared" si="7"/>
        <v>69.1</v>
      </c>
      <c r="I19" s="246">
        <f t="shared" si="7"/>
        <v>63.9</v>
      </c>
      <c r="J19" s="246">
        <f t="shared" si="7"/>
        <v>65.9</v>
      </c>
      <c r="K19" s="246">
        <f aca="true" t="shared" si="8" ref="K19:P19">+K13/K7*100</f>
        <v>68.2</v>
      </c>
      <c r="L19" s="246">
        <f t="shared" si="8"/>
        <v>70.6</v>
      </c>
      <c r="M19" s="246">
        <f t="shared" si="8"/>
        <v>67.1</v>
      </c>
      <c r="N19" s="246">
        <f t="shared" si="8"/>
        <v>68.6</v>
      </c>
      <c r="O19" s="246">
        <f t="shared" si="8"/>
        <v>70.7</v>
      </c>
      <c r="P19" s="246">
        <f t="shared" si="8"/>
        <v>70.7</v>
      </c>
      <c r="Q19" s="235">
        <f aca="true" t="shared" si="9" ref="Q19:W19">+Q13/Q7*100</f>
        <v>71.6</v>
      </c>
      <c r="R19" s="235">
        <f t="shared" si="9"/>
        <v>70.4</v>
      </c>
      <c r="S19" s="246">
        <f t="shared" si="9"/>
        <v>70.1</v>
      </c>
      <c r="T19" s="246">
        <f t="shared" si="9"/>
        <v>69.9</v>
      </c>
      <c r="U19" s="246">
        <f t="shared" si="9"/>
        <v>92</v>
      </c>
      <c r="V19" s="246">
        <f t="shared" si="9"/>
        <v>78.9</v>
      </c>
      <c r="W19" s="235">
        <f t="shared" si="9"/>
        <v>77.4</v>
      </c>
    </row>
    <row r="20" spans="1:23" ht="17.25" customHeight="1" thickBot="1">
      <c r="A20" s="7"/>
      <c r="B20" s="65" t="s">
        <v>43</v>
      </c>
      <c r="C20" s="236">
        <f>+C14/C7*100</f>
        <v>40.6</v>
      </c>
      <c r="D20" s="236">
        <f>+D14/D7*100</f>
        <v>39.5</v>
      </c>
      <c r="E20" s="236">
        <f aca="true" t="shared" si="10" ref="E20:J20">+E14/E7*100</f>
        <v>37.4</v>
      </c>
      <c r="F20" s="247">
        <f t="shared" si="10"/>
        <v>25.1</v>
      </c>
      <c r="G20" s="247">
        <f t="shared" si="10"/>
        <v>16.5</v>
      </c>
      <c r="H20" s="247">
        <f t="shared" si="10"/>
        <v>29.8</v>
      </c>
      <c r="I20" s="247">
        <f t="shared" si="10"/>
        <v>34.5</v>
      </c>
      <c r="J20" s="247">
        <f t="shared" si="10"/>
        <v>31.7</v>
      </c>
      <c r="K20" s="247">
        <f aca="true" t="shared" si="11" ref="K20:P20">+K14/K7*100</f>
        <v>30.6</v>
      </c>
      <c r="L20" s="247">
        <f t="shared" si="11"/>
        <v>28.6</v>
      </c>
      <c r="M20" s="247">
        <f t="shared" si="11"/>
        <v>31.3</v>
      </c>
      <c r="N20" s="247">
        <f t="shared" si="11"/>
        <v>30.8</v>
      </c>
      <c r="O20" s="247">
        <f t="shared" si="11"/>
        <v>29.2</v>
      </c>
      <c r="P20" s="247">
        <f t="shared" si="11"/>
        <v>29.6</v>
      </c>
      <c r="Q20" s="236">
        <f aca="true" t="shared" si="12" ref="Q20:W20">+Q14/Q7*100</f>
        <v>28.3</v>
      </c>
      <c r="R20" s="236">
        <f t="shared" si="12"/>
        <v>29.5</v>
      </c>
      <c r="S20" s="247">
        <f t="shared" si="12"/>
        <v>29.5</v>
      </c>
      <c r="T20" s="247">
        <f t="shared" si="12"/>
        <v>30.1</v>
      </c>
      <c r="U20" s="247">
        <f t="shared" si="12"/>
        <v>7</v>
      </c>
      <c r="V20" s="247">
        <f t="shared" si="12"/>
        <v>18.1</v>
      </c>
      <c r="W20" s="236">
        <f t="shared" si="12"/>
        <v>21.6</v>
      </c>
    </row>
    <row r="21" spans="1:23" ht="17.25" customHeight="1">
      <c r="A21" s="7"/>
      <c r="B21" s="11"/>
      <c r="C21" s="16"/>
      <c r="D21" s="16"/>
      <c r="E21" s="16"/>
      <c r="F21" s="156"/>
      <c r="G21" s="156"/>
      <c r="H21" s="16"/>
      <c r="I21" s="156"/>
      <c r="J21" s="156"/>
      <c r="K21" s="156"/>
      <c r="L21" s="156"/>
      <c r="M21" s="16"/>
      <c r="N21" s="156"/>
      <c r="O21" s="156"/>
      <c r="P21" s="156"/>
      <c r="Q21" s="16"/>
      <c r="R21" s="16"/>
      <c r="S21" s="156"/>
      <c r="T21" s="156"/>
      <c r="U21" s="156"/>
      <c r="V21" s="156"/>
      <c r="W21" s="16"/>
    </row>
    <row r="22" spans="1:23" ht="12" customHeight="1">
      <c r="A22" s="7"/>
      <c r="B22" s="13" t="s">
        <v>62</v>
      </c>
      <c r="C22" s="16"/>
      <c r="D22" s="16"/>
      <c r="E22" s="16"/>
      <c r="F22" s="156"/>
      <c r="G22" s="156"/>
      <c r="H22" s="16"/>
      <c r="I22" s="156"/>
      <c r="J22" s="156"/>
      <c r="K22" s="156"/>
      <c r="L22" s="156"/>
      <c r="M22" s="16"/>
      <c r="N22" s="156"/>
      <c r="O22" s="156"/>
      <c r="P22" s="156"/>
      <c r="Q22" s="16"/>
      <c r="R22" s="16"/>
      <c r="S22" s="156"/>
      <c r="T22" s="156"/>
      <c r="U22" s="156"/>
      <c r="V22" s="156"/>
      <c r="W22" s="16"/>
    </row>
    <row r="23" spans="1:23" ht="27" customHeight="1" thickBot="1">
      <c r="A23" s="7"/>
      <c r="B23" s="144" t="s">
        <v>149</v>
      </c>
      <c r="C23" s="412">
        <v>5949</v>
      </c>
      <c r="D23" s="412">
        <v>5960</v>
      </c>
      <c r="E23" s="412">
        <v>5975</v>
      </c>
      <c r="F23" s="412">
        <v>6141</v>
      </c>
      <c r="G23" s="412">
        <v>6328</v>
      </c>
      <c r="H23" s="412">
        <v>6121</v>
      </c>
      <c r="I23" s="412">
        <v>6303</v>
      </c>
      <c r="J23" s="412">
        <v>6175</v>
      </c>
      <c r="K23" s="412">
        <v>6177</v>
      </c>
      <c r="L23" s="412">
        <v>6212</v>
      </c>
      <c r="M23" s="412">
        <v>6236</v>
      </c>
      <c r="N23" s="412">
        <v>6260</v>
      </c>
      <c r="O23" s="412">
        <v>6669</v>
      </c>
      <c r="P23" s="412">
        <v>6974</v>
      </c>
      <c r="Q23" s="412">
        <v>6695</v>
      </c>
      <c r="R23" s="412">
        <v>6589</v>
      </c>
      <c r="S23" s="412">
        <v>6711</v>
      </c>
      <c r="T23" s="412">
        <v>6894</v>
      </c>
      <c r="U23" s="412">
        <v>6959</v>
      </c>
      <c r="V23" s="412">
        <v>7216</v>
      </c>
      <c r="W23" s="412">
        <v>6940</v>
      </c>
    </row>
    <row r="24" spans="1:23" ht="26.25" thickBot="1">
      <c r="A24" s="43"/>
      <c r="B24" s="144" t="s">
        <v>150</v>
      </c>
      <c r="C24" s="410">
        <v>92.9</v>
      </c>
      <c r="D24" s="410">
        <v>89.5</v>
      </c>
      <c r="E24" s="410">
        <v>82.2</v>
      </c>
      <c r="F24" s="410">
        <v>52</v>
      </c>
      <c r="G24" s="410">
        <v>33.2</v>
      </c>
      <c r="H24" s="410">
        <v>63.5</v>
      </c>
      <c r="I24" s="410">
        <v>63.5</v>
      </c>
      <c r="J24" s="410">
        <v>61</v>
      </c>
      <c r="K24" s="410">
        <v>56.6</v>
      </c>
      <c r="L24" s="410">
        <v>55.6</v>
      </c>
      <c r="M24" s="410">
        <v>59</v>
      </c>
      <c r="N24" s="410">
        <v>57.4</v>
      </c>
      <c r="O24" s="410">
        <v>52.9</v>
      </c>
      <c r="P24" s="410">
        <v>48.4</v>
      </c>
      <c r="Q24" s="410">
        <v>49.7</v>
      </c>
      <c r="R24" s="410">
        <v>52.5</v>
      </c>
      <c r="S24" s="410">
        <v>51.4</v>
      </c>
      <c r="T24" s="410">
        <v>49.3</v>
      </c>
      <c r="U24" s="410">
        <v>11</v>
      </c>
      <c r="V24" s="410">
        <v>26.2</v>
      </c>
      <c r="W24" s="410">
        <v>34.2</v>
      </c>
    </row>
    <row r="25" spans="1:23" ht="12.75">
      <c r="A25" s="43"/>
      <c r="B25" s="185"/>
      <c r="C25" s="287"/>
      <c r="D25" s="287"/>
      <c r="E25" s="287"/>
      <c r="F25" s="287"/>
      <c r="G25" s="287"/>
      <c r="H25" s="287"/>
      <c r="I25" s="287"/>
      <c r="J25" s="287"/>
      <c r="K25" s="186"/>
      <c r="L25" s="287"/>
      <c r="M25" s="287"/>
      <c r="N25" s="287"/>
      <c r="O25" s="287"/>
      <c r="P25" s="287"/>
      <c r="Q25" s="319"/>
      <c r="R25" s="319"/>
      <c r="S25" s="319"/>
      <c r="T25" s="319"/>
      <c r="U25" s="319"/>
      <c r="V25" s="319"/>
      <c r="W25" s="319"/>
    </row>
    <row r="26" spans="1:23" ht="15.75" customHeight="1">
      <c r="A26" s="7"/>
      <c r="B26" s="13" t="s">
        <v>63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7.25" customHeight="1" thickBot="1">
      <c r="A27" s="7"/>
      <c r="B27" s="65" t="s">
        <v>64</v>
      </c>
      <c r="C27" s="278">
        <f>+'Core Results'!G41</f>
        <v>23200</v>
      </c>
      <c r="D27" s="278">
        <f>+'Core Results'!H41</f>
        <v>23800</v>
      </c>
      <c r="E27" s="278">
        <f>+'Core Results'!I41</f>
        <v>24100</v>
      </c>
      <c r="F27" s="278">
        <f>+'Core Results'!J41</f>
        <v>24700</v>
      </c>
      <c r="G27" s="278">
        <f>+'Core Results'!K41</f>
        <v>24400</v>
      </c>
      <c r="H27" s="278">
        <f>+'Core Results'!L41</f>
        <v>24400</v>
      </c>
      <c r="I27" s="278">
        <f>+'Core Results'!M41</f>
        <v>24100</v>
      </c>
      <c r="J27" s="278">
        <f>+'Core Results'!N41</f>
        <v>24000</v>
      </c>
      <c r="K27" s="278">
        <f>+'Core Results'!O41</f>
        <v>24200</v>
      </c>
      <c r="L27" s="278">
        <f>+'Core Results'!P41</f>
        <v>24300</v>
      </c>
      <c r="M27" s="278">
        <f>+'Core Results'!Q41</f>
        <v>24300</v>
      </c>
      <c r="N27" s="278">
        <f>+'Core Results'!R41</f>
        <v>24600</v>
      </c>
      <c r="O27" s="278">
        <f>+'Core Results'!S41</f>
        <v>24900</v>
      </c>
      <c r="P27" s="278">
        <f>+'Core Results'!T41</f>
        <v>25500</v>
      </c>
      <c r="Q27" s="278">
        <f>+'Core Results'!U41</f>
        <v>25600</v>
      </c>
      <c r="R27" s="278">
        <f>+'Core Results'!V41</f>
        <v>25600</v>
      </c>
      <c r="S27" s="278">
        <f>+'Core Results'!W41</f>
        <v>25600</v>
      </c>
      <c r="T27" s="278">
        <f>+'Core Results'!X41</f>
        <v>25700</v>
      </c>
      <c r="U27" s="278">
        <f>+'Core Results'!Y41</f>
        <v>25500</v>
      </c>
      <c r="V27" s="278">
        <f>+'Core Results'!Z41</f>
        <v>25200</v>
      </c>
      <c r="W27" s="278">
        <f>+'Core Results'!AA41</f>
        <v>25200</v>
      </c>
    </row>
    <row r="28" spans="1:23" ht="17.25" customHeight="1">
      <c r="A28" s="7"/>
      <c r="B28" s="21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</row>
    <row r="29" spans="1:23" ht="17.25" customHeight="1">
      <c r="A29" s="7"/>
      <c r="B29" s="13" t="s">
        <v>31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23" s="20" customFormat="1" ht="17.25" customHeight="1">
      <c r="A30" s="7"/>
      <c r="B30" s="26" t="s">
        <v>10</v>
      </c>
      <c r="C30" s="192">
        <v>4788</v>
      </c>
      <c r="D30" s="192">
        <v>1241</v>
      </c>
      <c r="E30" s="192">
        <v>1277</v>
      </c>
      <c r="F30" s="192">
        <v>1289</v>
      </c>
      <c r="G30" s="192">
        <v>1350</v>
      </c>
      <c r="H30" s="198">
        <f>SUM(D30:G30)</f>
        <v>5157</v>
      </c>
      <c r="I30" s="192">
        <v>1289</v>
      </c>
      <c r="J30" s="192">
        <v>1277</v>
      </c>
      <c r="K30" s="192">
        <v>1186</v>
      </c>
      <c r="L30" s="192">
        <v>1248</v>
      </c>
      <c r="M30" s="198">
        <f>SUM(I30:L30)</f>
        <v>5000</v>
      </c>
      <c r="N30" s="192">
        <v>1214</v>
      </c>
      <c r="O30" s="192">
        <v>1276</v>
      </c>
      <c r="P30" s="192">
        <v>1217</v>
      </c>
      <c r="Q30" s="192">
        <v>1224</v>
      </c>
      <c r="R30" s="198">
        <f>SUM(N30:Q30)</f>
        <v>4931</v>
      </c>
      <c r="S30" s="192">
        <v>1176</v>
      </c>
      <c r="T30" s="192">
        <v>1151</v>
      </c>
      <c r="U30" s="192">
        <v>1098</v>
      </c>
      <c r="V30" s="192">
        <v>1167</v>
      </c>
      <c r="W30" s="198">
        <f>SUM(S30:V30)</f>
        <v>4592</v>
      </c>
    </row>
    <row r="31" spans="1:23" s="20" customFormat="1" ht="17.25" customHeight="1">
      <c r="A31" s="7"/>
      <c r="B31" s="17" t="s">
        <v>186</v>
      </c>
      <c r="C31" s="325">
        <f>10051-C30</f>
        <v>5263</v>
      </c>
      <c r="D31" s="325">
        <f>2538-D30</f>
        <v>1297</v>
      </c>
      <c r="E31" s="325">
        <f>2575-E30</f>
        <v>1298</v>
      </c>
      <c r="F31" s="325">
        <f>2521-F30</f>
        <v>1232</v>
      </c>
      <c r="G31" s="325">
        <f>2407-G30</f>
        <v>1057</v>
      </c>
      <c r="H31" s="326">
        <f>SUM(D31:G31)</f>
        <v>4884</v>
      </c>
      <c r="I31" s="325">
        <f>2266-I30</f>
        <v>977</v>
      </c>
      <c r="J31" s="325">
        <f>2239-J30</f>
        <v>962</v>
      </c>
      <c r="K31" s="325">
        <f>2178-K30</f>
        <v>992</v>
      </c>
      <c r="L31" s="325">
        <f>2297-L30</f>
        <v>1049</v>
      </c>
      <c r="M31" s="326">
        <f>SUM(I31:L31)</f>
        <v>3980</v>
      </c>
      <c r="N31" s="325">
        <f>2270-N30</f>
        <v>1056</v>
      </c>
      <c r="O31" s="325">
        <f>2304-O30</f>
        <v>1028</v>
      </c>
      <c r="P31" s="325">
        <f>2218-P30</f>
        <v>1001</v>
      </c>
      <c r="Q31" s="325">
        <f>2244-Q30</f>
        <v>1020</v>
      </c>
      <c r="R31" s="326">
        <f>SUM(N31:Q31)</f>
        <v>4105</v>
      </c>
      <c r="S31" s="325">
        <v>1007</v>
      </c>
      <c r="T31" s="325">
        <v>1005</v>
      </c>
      <c r="U31" s="325">
        <v>905</v>
      </c>
      <c r="V31" s="325">
        <v>910</v>
      </c>
      <c r="W31" s="326">
        <f>SUM(S31:V31)</f>
        <v>3827</v>
      </c>
    </row>
    <row r="32" spans="1:23" s="20" customFormat="1" ht="17.25" customHeight="1">
      <c r="A32" s="7"/>
      <c r="B32" s="31" t="s">
        <v>4</v>
      </c>
      <c r="C32" s="194">
        <v>3471</v>
      </c>
      <c r="D32" s="194">
        <v>817</v>
      </c>
      <c r="E32" s="194">
        <v>690</v>
      </c>
      <c r="F32" s="194">
        <v>627</v>
      </c>
      <c r="G32" s="194">
        <v>732</v>
      </c>
      <c r="H32" s="195">
        <f>SUM(D32:G32)</f>
        <v>2866</v>
      </c>
      <c r="I32" s="194">
        <v>612</v>
      </c>
      <c r="J32" s="194">
        <v>712</v>
      </c>
      <c r="K32" s="194">
        <v>655</v>
      </c>
      <c r="L32" s="194">
        <v>703</v>
      </c>
      <c r="M32" s="195">
        <f>SUM(I32:L32)</f>
        <v>2682</v>
      </c>
      <c r="N32" s="194">
        <v>630</v>
      </c>
      <c r="O32" s="194">
        <v>687</v>
      </c>
      <c r="P32" s="194">
        <v>608</v>
      </c>
      <c r="Q32" s="194">
        <v>670</v>
      </c>
      <c r="R32" s="195">
        <f>SUM(N32:Q32)</f>
        <v>2595</v>
      </c>
      <c r="S32" s="194">
        <v>713</v>
      </c>
      <c r="T32" s="194">
        <v>641</v>
      </c>
      <c r="U32" s="194">
        <v>607</v>
      </c>
      <c r="V32" s="194">
        <v>497</v>
      </c>
      <c r="W32" s="195">
        <f>SUM(S32:V32)</f>
        <v>2458</v>
      </c>
    </row>
    <row r="33" spans="1:23" s="20" customFormat="1" ht="17.25" customHeight="1" thickBot="1">
      <c r="A33" s="7"/>
      <c r="B33" s="38" t="s">
        <v>14</v>
      </c>
      <c r="C33" s="201">
        <f aca="true" t="shared" si="13" ref="C33:V33">IF((+C30+C31+C32)=(C7),(+C30+C31+C32),"Error")</f>
        <v>13522</v>
      </c>
      <c r="D33" s="201">
        <f t="shared" si="13"/>
        <v>3355</v>
      </c>
      <c r="E33" s="201">
        <f t="shared" si="13"/>
        <v>3265</v>
      </c>
      <c r="F33" s="201">
        <f t="shared" si="13"/>
        <v>3148</v>
      </c>
      <c r="G33" s="201">
        <f t="shared" si="13"/>
        <v>3139</v>
      </c>
      <c r="H33" s="201">
        <f t="shared" si="13"/>
        <v>12907</v>
      </c>
      <c r="I33" s="201">
        <f t="shared" si="13"/>
        <v>2878</v>
      </c>
      <c r="J33" s="201">
        <f t="shared" si="13"/>
        <v>2951</v>
      </c>
      <c r="K33" s="201">
        <f t="shared" si="13"/>
        <v>2833</v>
      </c>
      <c r="L33" s="201">
        <f t="shared" si="13"/>
        <v>3000</v>
      </c>
      <c r="M33" s="201">
        <f t="shared" si="13"/>
        <v>11662</v>
      </c>
      <c r="N33" s="201">
        <f t="shared" si="13"/>
        <v>2900</v>
      </c>
      <c r="O33" s="201">
        <f t="shared" si="13"/>
        <v>2991</v>
      </c>
      <c r="P33" s="201">
        <f t="shared" si="13"/>
        <v>2826</v>
      </c>
      <c r="Q33" s="201">
        <f t="shared" si="13"/>
        <v>2914</v>
      </c>
      <c r="R33" s="201">
        <f t="shared" si="13"/>
        <v>11631</v>
      </c>
      <c r="S33" s="201">
        <f t="shared" si="13"/>
        <v>2896</v>
      </c>
      <c r="T33" s="201">
        <f t="shared" si="13"/>
        <v>2797</v>
      </c>
      <c r="U33" s="201">
        <f t="shared" si="13"/>
        <v>2610</v>
      </c>
      <c r="V33" s="201">
        <f t="shared" si="13"/>
        <v>2574</v>
      </c>
      <c r="W33" s="201">
        <f>IF((+W30+W31+W32)=(W7),(+W30+W31+W32),"Error")</f>
        <v>10877</v>
      </c>
    </row>
    <row r="34" spans="1:23" s="20" customFormat="1" ht="17.25" customHeight="1">
      <c r="A34" s="7"/>
      <c r="B34" s="37"/>
      <c r="C34" s="202"/>
      <c r="D34" s="202"/>
      <c r="E34" s="202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2"/>
      <c r="R34" s="202"/>
      <c r="S34" s="202"/>
      <c r="T34" s="202"/>
      <c r="U34" s="202"/>
      <c r="V34" s="202"/>
      <c r="W34" s="202"/>
    </row>
    <row r="35" spans="1:23" ht="17.25" customHeight="1">
      <c r="A35" s="7"/>
      <c r="B35" s="13" t="s">
        <v>148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</row>
    <row r="36" spans="1:23" s="20" customFormat="1" ht="17.25" customHeight="1">
      <c r="A36" s="7"/>
      <c r="B36" s="26" t="s">
        <v>153</v>
      </c>
      <c r="C36" s="192">
        <v>175</v>
      </c>
      <c r="D36" s="192">
        <v>29</v>
      </c>
      <c r="E36" s="192">
        <v>39</v>
      </c>
      <c r="F36" s="193">
        <v>37</v>
      </c>
      <c r="G36" s="193">
        <v>183</v>
      </c>
      <c r="H36" s="199">
        <f>SUM(D36:G36)</f>
        <v>288</v>
      </c>
      <c r="I36" s="192">
        <v>93</v>
      </c>
      <c r="J36" s="192">
        <v>137</v>
      </c>
      <c r="K36" s="192">
        <v>115</v>
      </c>
      <c r="L36" s="193">
        <v>74</v>
      </c>
      <c r="M36" s="199">
        <f>SUM(I36:L36)</f>
        <v>419</v>
      </c>
      <c r="N36" s="192">
        <v>75</v>
      </c>
      <c r="O36" s="192">
        <v>90</v>
      </c>
      <c r="P36" s="192">
        <v>47</v>
      </c>
      <c r="Q36" s="192">
        <v>77</v>
      </c>
      <c r="R36" s="199">
        <f>SUM(N36:Q36)</f>
        <v>289</v>
      </c>
      <c r="S36" s="192">
        <v>41</v>
      </c>
      <c r="T36" s="192">
        <v>55</v>
      </c>
      <c r="U36" s="192">
        <v>54</v>
      </c>
      <c r="V36" s="192">
        <v>126</v>
      </c>
      <c r="W36" s="199">
        <f>SUM(S36:V36)</f>
        <v>276</v>
      </c>
    </row>
    <row r="37" spans="1:23" s="20" customFormat="1" ht="17.25" customHeight="1">
      <c r="A37" s="7"/>
      <c r="B37" s="31" t="s">
        <v>154</v>
      </c>
      <c r="C37" s="194">
        <v>-234</v>
      </c>
      <c r="D37" s="194">
        <v>-34</v>
      </c>
      <c r="E37" s="194">
        <v>-44</v>
      </c>
      <c r="F37" s="205">
        <v>-24</v>
      </c>
      <c r="G37" s="205">
        <v>-53</v>
      </c>
      <c r="H37" s="219">
        <f>SUM(D37:G37)</f>
        <v>-155</v>
      </c>
      <c r="I37" s="205">
        <v>-46</v>
      </c>
      <c r="J37" s="205">
        <v>-65</v>
      </c>
      <c r="K37" s="205">
        <v>-80</v>
      </c>
      <c r="L37" s="205">
        <v>-48</v>
      </c>
      <c r="M37" s="219">
        <f>SUM(I37:L37)</f>
        <v>-239</v>
      </c>
      <c r="N37" s="205">
        <v>-56</v>
      </c>
      <c r="O37" s="205">
        <v>-87</v>
      </c>
      <c r="P37" s="205">
        <v>-55</v>
      </c>
      <c r="Q37" s="194">
        <v>-73</v>
      </c>
      <c r="R37" s="200">
        <f>SUM(N37:Q37)</f>
        <v>-271</v>
      </c>
      <c r="S37" s="194">
        <v>-29</v>
      </c>
      <c r="T37" s="194">
        <v>-57</v>
      </c>
      <c r="U37" s="194">
        <v>-29</v>
      </c>
      <c r="V37" s="194">
        <v>-51</v>
      </c>
      <c r="W37" s="200">
        <f>SUM(S37:V37)</f>
        <v>-166</v>
      </c>
    </row>
    <row r="38" spans="1:23" s="20" customFormat="1" ht="17.25" customHeight="1" thickBot="1">
      <c r="A38" s="7"/>
      <c r="B38" s="38" t="s">
        <v>15</v>
      </c>
      <c r="C38" s="201">
        <f aca="true" t="shared" si="14" ref="C38:V38">IF((SUM(C36:C37))=C8,(SUM(C36:C37)),"Error")</f>
        <v>-59</v>
      </c>
      <c r="D38" s="201">
        <f t="shared" si="14"/>
        <v>-5</v>
      </c>
      <c r="E38" s="201">
        <f t="shared" si="14"/>
        <v>-5</v>
      </c>
      <c r="F38" s="201">
        <f t="shared" si="14"/>
        <v>13</v>
      </c>
      <c r="G38" s="201">
        <f t="shared" si="14"/>
        <v>130</v>
      </c>
      <c r="H38" s="201">
        <f t="shared" si="14"/>
        <v>133</v>
      </c>
      <c r="I38" s="201">
        <f t="shared" si="14"/>
        <v>47</v>
      </c>
      <c r="J38" s="201">
        <f t="shared" si="14"/>
        <v>72</v>
      </c>
      <c r="K38" s="201">
        <f t="shared" si="14"/>
        <v>35</v>
      </c>
      <c r="L38" s="201">
        <f t="shared" si="14"/>
        <v>26</v>
      </c>
      <c r="M38" s="201">
        <f t="shared" si="14"/>
        <v>180</v>
      </c>
      <c r="N38" s="201">
        <f t="shared" si="14"/>
        <v>19</v>
      </c>
      <c r="O38" s="201">
        <f t="shared" si="14"/>
        <v>3</v>
      </c>
      <c r="P38" s="201">
        <f t="shared" si="14"/>
        <v>-8</v>
      </c>
      <c r="Q38" s="201">
        <f t="shared" si="14"/>
        <v>4</v>
      </c>
      <c r="R38" s="201">
        <f t="shared" si="14"/>
        <v>18</v>
      </c>
      <c r="S38" s="201">
        <f t="shared" si="14"/>
        <v>12</v>
      </c>
      <c r="T38" s="201">
        <f t="shared" si="14"/>
        <v>-2</v>
      </c>
      <c r="U38" s="201">
        <f t="shared" si="14"/>
        <v>25</v>
      </c>
      <c r="V38" s="201">
        <f t="shared" si="14"/>
        <v>75</v>
      </c>
      <c r="W38" s="201">
        <f>IF((SUM(W36:W37))=W8,(SUM(W36:W37)),"Error")</f>
        <v>110</v>
      </c>
    </row>
    <row r="39" spans="1:23" s="20" customFormat="1" ht="17.25" customHeight="1">
      <c r="A39" s="7"/>
      <c r="B39" s="37"/>
      <c r="C39" s="202"/>
      <c r="D39" s="202"/>
      <c r="E39" s="202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2"/>
      <c r="R39" s="202"/>
      <c r="S39" s="202"/>
      <c r="T39" s="202"/>
      <c r="U39" s="202"/>
      <c r="V39" s="202"/>
      <c r="W39" s="202"/>
    </row>
    <row r="40" spans="1:23" ht="17.25" customHeight="1">
      <c r="A40" s="7"/>
      <c r="B40" s="13" t="s">
        <v>45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</row>
    <row r="41" spans="1:23" ht="17.25" customHeight="1">
      <c r="A41" s="7"/>
      <c r="B41" s="32" t="s">
        <v>46</v>
      </c>
      <c r="C41" s="197">
        <v>376800</v>
      </c>
      <c r="D41" s="197">
        <v>365249</v>
      </c>
      <c r="E41" s="197">
        <v>375064</v>
      </c>
      <c r="F41" s="197">
        <v>394644</v>
      </c>
      <c r="G41" s="197">
        <v>374771</v>
      </c>
      <c r="H41" s="206">
        <f>G41</f>
        <v>374771</v>
      </c>
      <c r="I41" s="197">
        <v>373306</v>
      </c>
      <c r="J41" s="197">
        <v>367693</v>
      </c>
      <c r="K41" s="197">
        <v>350867</v>
      </c>
      <c r="L41" s="197">
        <v>345488</v>
      </c>
      <c r="M41" s="206">
        <v>345488</v>
      </c>
      <c r="N41" s="197">
        <v>345083</v>
      </c>
      <c r="O41" s="197">
        <v>351009</v>
      </c>
      <c r="P41" s="197">
        <v>351731</v>
      </c>
      <c r="Q41" s="197">
        <v>337496</v>
      </c>
      <c r="R41" s="206">
        <f>+Q41</f>
        <v>337496</v>
      </c>
      <c r="S41" s="197">
        <v>341581</v>
      </c>
      <c r="T41" s="197">
        <v>335098</v>
      </c>
      <c r="U41" s="197">
        <v>350759</v>
      </c>
      <c r="V41" s="197">
        <v>350955</v>
      </c>
      <c r="W41" s="206">
        <f>+V41</f>
        <v>350955</v>
      </c>
    </row>
    <row r="42" spans="1:23" ht="17.25" customHeight="1">
      <c r="A42" s="7"/>
      <c r="B42" s="111" t="s">
        <v>47</v>
      </c>
      <c r="C42" s="207">
        <f aca="true" t="shared" si="15" ref="C42:N42">+C43+C44</f>
        <v>175506</v>
      </c>
      <c r="D42" s="207">
        <f t="shared" si="15"/>
        <v>175413</v>
      </c>
      <c r="E42" s="207">
        <f t="shared" si="15"/>
        <v>180597</v>
      </c>
      <c r="F42" s="207">
        <f t="shared" si="15"/>
        <v>187234</v>
      </c>
      <c r="G42" s="207">
        <f t="shared" si="15"/>
        <v>174904</v>
      </c>
      <c r="H42" s="207">
        <f>+H43+H44</f>
        <v>174904</v>
      </c>
      <c r="I42" s="207">
        <f t="shared" si="15"/>
        <v>176604</v>
      </c>
      <c r="J42" s="207">
        <f t="shared" si="15"/>
        <v>176202</v>
      </c>
      <c r="K42" s="207">
        <f t="shared" si="15"/>
        <v>176731</v>
      </c>
      <c r="L42" s="207">
        <f t="shared" si="15"/>
        <v>176009</v>
      </c>
      <c r="M42" s="207">
        <f t="shared" si="15"/>
        <v>176009</v>
      </c>
      <c r="N42" s="207">
        <f t="shared" si="15"/>
        <v>178731</v>
      </c>
      <c r="O42" s="207">
        <f aca="true" t="shared" si="16" ref="O42:T42">+O43+O44</f>
        <v>182397</v>
      </c>
      <c r="P42" s="207">
        <f t="shared" si="16"/>
        <v>183015</v>
      </c>
      <c r="Q42" s="207">
        <f t="shared" si="16"/>
        <v>182880</v>
      </c>
      <c r="R42" s="207">
        <f t="shared" si="16"/>
        <v>182880</v>
      </c>
      <c r="S42" s="207">
        <f t="shared" si="16"/>
        <v>185795</v>
      </c>
      <c r="T42" s="207">
        <f t="shared" si="16"/>
        <v>186691</v>
      </c>
      <c r="U42" s="207">
        <f>+U43+U44</f>
        <v>192177</v>
      </c>
      <c r="V42" s="207">
        <f>+V43+V44</f>
        <v>196268</v>
      </c>
      <c r="W42" s="207">
        <f>+W43+W44</f>
        <v>196268</v>
      </c>
    </row>
    <row r="43" spans="1:23" s="20" customFormat="1" ht="17.25" customHeight="1">
      <c r="A43" s="7"/>
      <c r="B43" s="183" t="s">
        <v>134</v>
      </c>
      <c r="C43" s="208">
        <v>128153</v>
      </c>
      <c r="D43" s="208">
        <v>128204</v>
      </c>
      <c r="E43" s="208">
        <v>131583</v>
      </c>
      <c r="F43" s="208">
        <v>136397</v>
      </c>
      <c r="G43" s="208">
        <v>123796</v>
      </c>
      <c r="H43" s="209">
        <f>G43</f>
        <v>123796</v>
      </c>
      <c r="I43" s="208">
        <v>123548</v>
      </c>
      <c r="J43" s="208">
        <v>123947</v>
      </c>
      <c r="K43" s="208">
        <v>126086</v>
      </c>
      <c r="L43" s="208">
        <v>125671</v>
      </c>
      <c r="M43" s="209">
        <v>125671</v>
      </c>
      <c r="N43" s="208">
        <v>127752</v>
      </c>
      <c r="O43" s="208">
        <v>130881</v>
      </c>
      <c r="P43" s="208">
        <v>132744</v>
      </c>
      <c r="Q43" s="320">
        <v>130435</v>
      </c>
      <c r="R43" s="321">
        <v>130435</v>
      </c>
      <c r="S43" s="320">
        <v>133466</v>
      </c>
      <c r="T43" s="320">
        <v>134160</v>
      </c>
      <c r="U43" s="320">
        <v>138175</v>
      </c>
      <c r="V43" s="320">
        <v>139725</v>
      </c>
      <c r="W43" s="321">
        <v>139725</v>
      </c>
    </row>
    <row r="44" spans="1:23" s="20" customFormat="1" ht="17.25" customHeight="1">
      <c r="A44" s="7"/>
      <c r="B44" s="181" t="s">
        <v>135</v>
      </c>
      <c r="C44" s="205">
        <v>47353</v>
      </c>
      <c r="D44" s="205">
        <v>47209</v>
      </c>
      <c r="E44" s="205">
        <v>49014</v>
      </c>
      <c r="F44" s="205">
        <v>50837</v>
      </c>
      <c r="G44" s="205">
        <v>51108</v>
      </c>
      <c r="H44" s="196">
        <f>G44</f>
        <v>51108</v>
      </c>
      <c r="I44" s="205">
        <v>53056</v>
      </c>
      <c r="J44" s="205">
        <v>52255</v>
      </c>
      <c r="K44" s="205">
        <v>50645</v>
      </c>
      <c r="L44" s="205">
        <v>50338</v>
      </c>
      <c r="M44" s="196">
        <v>50338</v>
      </c>
      <c r="N44" s="205">
        <v>50979</v>
      </c>
      <c r="O44" s="205">
        <v>51516</v>
      </c>
      <c r="P44" s="205">
        <v>50271</v>
      </c>
      <c r="Q44" s="194">
        <v>52445</v>
      </c>
      <c r="R44" s="195">
        <v>52445</v>
      </c>
      <c r="S44" s="194">
        <v>52329</v>
      </c>
      <c r="T44" s="194">
        <v>52531</v>
      </c>
      <c r="U44" s="194">
        <v>54002</v>
      </c>
      <c r="V44" s="194">
        <v>56543</v>
      </c>
      <c r="W44" s="195">
        <v>56543</v>
      </c>
    </row>
    <row r="45" spans="1:23" ht="17.25" customHeight="1">
      <c r="A45" s="7"/>
      <c r="B45" s="111" t="s">
        <v>130</v>
      </c>
      <c r="C45" s="248">
        <f>+C46+C47</f>
        <v>242052</v>
      </c>
      <c r="D45" s="248">
        <f aca="true" t="shared" si="17" ref="D45:J45">+D46+D47</f>
        <v>243598</v>
      </c>
      <c r="E45" s="248">
        <f t="shared" si="17"/>
        <v>246214</v>
      </c>
      <c r="F45" s="248">
        <f t="shared" si="17"/>
        <v>259733</v>
      </c>
      <c r="G45" s="248">
        <f t="shared" si="17"/>
        <v>246787</v>
      </c>
      <c r="H45" s="248">
        <f t="shared" si="17"/>
        <v>246787</v>
      </c>
      <c r="I45" s="248">
        <f t="shared" si="17"/>
        <v>257961</v>
      </c>
      <c r="J45" s="248">
        <f t="shared" si="17"/>
        <v>261390</v>
      </c>
      <c r="K45" s="248">
        <f>+K46+K47</f>
        <v>256076</v>
      </c>
      <c r="L45" s="248">
        <f>+L46+L47</f>
        <v>257650</v>
      </c>
      <c r="M45" s="248">
        <f>+M46+M47</f>
        <v>257650</v>
      </c>
      <c r="N45" s="248">
        <f>+N46+N47</f>
        <v>256290</v>
      </c>
      <c r="O45" s="248">
        <f>+O46+O47</f>
        <v>260736</v>
      </c>
      <c r="P45" s="248">
        <v>258135</v>
      </c>
      <c r="Q45" s="207">
        <f aca="true" t="shared" si="18" ref="Q45:W45">+Q46+Q47</f>
        <v>245108</v>
      </c>
      <c r="R45" s="207">
        <f t="shared" si="18"/>
        <v>245108</v>
      </c>
      <c r="S45" s="207">
        <f t="shared" si="18"/>
        <v>248090</v>
      </c>
      <c r="T45" s="207">
        <f t="shared" si="18"/>
        <v>244146</v>
      </c>
      <c r="U45" s="207">
        <f t="shared" si="18"/>
        <v>255630</v>
      </c>
      <c r="V45" s="207">
        <f t="shared" si="18"/>
        <v>257521</v>
      </c>
      <c r="W45" s="207">
        <f t="shared" si="18"/>
        <v>257521</v>
      </c>
    </row>
    <row r="46" spans="1:23" s="20" customFormat="1" ht="17.25" customHeight="1">
      <c r="A46" s="7"/>
      <c r="B46" s="183" t="s">
        <v>134</v>
      </c>
      <c r="C46" s="208">
        <v>197314</v>
      </c>
      <c r="D46" s="208">
        <v>197650</v>
      </c>
      <c r="E46" s="208">
        <v>199007</v>
      </c>
      <c r="F46" s="208">
        <v>211989</v>
      </c>
      <c r="G46" s="208">
        <v>203675</v>
      </c>
      <c r="H46" s="209">
        <f>G46</f>
        <v>203675</v>
      </c>
      <c r="I46" s="208">
        <v>214316</v>
      </c>
      <c r="J46" s="208">
        <v>217219</v>
      </c>
      <c r="K46" s="208">
        <v>209694</v>
      </c>
      <c r="L46" s="208">
        <v>210718</v>
      </c>
      <c r="M46" s="209">
        <v>210718</v>
      </c>
      <c r="N46" s="208">
        <v>207115</v>
      </c>
      <c r="O46" s="208">
        <v>210918</v>
      </c>
      <c r="P46" s="208">
        <v>207078</v>
      </c>
      <c r="Q46" s="320">
        <v>194013</v>
      </c>
      <c r="R46" s="321">
        <v>194013</v>
      </c>
      <c r="S46" s="320">
        <v>197802</v>
      </c>
      <c r="T46" s="320">
        <v>193729</v>
      </c>
      <c r="U46" s="320">
        <v>201179</v>
      </c>
      <c r="V46" s="320">
        <v>203350</v>
      </c>
      <c r="W46" s="321">
        <v>203350</v>
      </c>
    </row>
    <row r="47" spans="1:23" s="20" customFormat="1" ht="17.25" customHeight="1">
      <c r="A47" s="7"/>
      <c r="B47" s="181" t="s">
        <v>135</v>
      </c>
      <c r="C47" s="205">
        <v>44738</v>
      </c>
      <c r="D47" s="205">
        <v>45948</v>
      </c>
      <c r="E47" s="205">
        <v>47207</v>
      </c>
      <c r="F47" s="205">
        <v>47744</v>
      </c>
      <c r="G47" s="205">
        <v>43112</v>
      </c>
      <c r="H47" s="196">
        <f>G47</f>
        <v>43112</v>
      </c>
      <c r="I47" s="205">
        <v>43645</v>
      </c>
      <c r="J47" s="205">
        <v>44171</v>
      </c>
      <c r="K47" s="205">
        <v>46382</v>
      </c>
      <c r="L47" s="205">
        <v>46932</v>
      </c>
      <c r="M47" s="196">
        <v>46932</v>
      </c>
      <c r="N47" s="205">
        <v>49175</v>
      </c>
      <c r="O47" s="205">
        <v>49818</v>
      </c>
      <c r="P47" s="205">
        <v>51057</v>
      </c>
      <c r="Q47" s="194">
        <v>51095</v>
      </c>
      <c r="R47" s="195">
        <v>51095</v>
      </c>
      <c r="S47" s="194">
        <v>50288</v>
      </c>
      <c r="T47" s="194">
        <v>50417</v>
      </c>
      <c r="U47" s="194">
        <v>54451</v>
      </c>
      <c r="V47" s="194">
        <v>54171</v>
      </c>
      <c r="W47" s="195">
        <v>54171</v>
      </c>
    </row>
    <row r="48" spans="1:23" ht="17.25" customHeight="1" thickBot="1">
      <c r="A48" s="7"/>
      <c r="B48" s="65" t="s">
        <v>48</v>
      </c>
      <c r="C48" s="210">
        <v>975</v>
      </c>
      <c r="D48" s="210">
        <v>819</v>
      </c>
      <c r="E48" s="210">
        <v>826</v>
      </c>
      <c r="F48" s="210">
        <v>833</v>
      </c>
      <c r="G48" s="210">
        <v>765</v>
      </c>
      <c r="H48" s="211">
        <f>G48</f>
        <v>765</v>
      </c>
      <c r="I48" s="210">
        <v>792</v>
      </c>
      <c r="J48" s="210">
        <v>804</v>
      </c>
      <c r="K48" s="210">
        <v>789</v>
      </c>
      <c r="L48" s="210">
        <v>789</v>
      </c>
      <c r="M48" s="211">
        <v>789</v>
      </c>
      <c r="N48" s="210">
        <v>785</v>
      </c>
      <c r="O48" s="210">
        <v>789</v>
      </c>
      <c r="P48" s="210">
        <v>765</v>
      </c>
      <c r="Q48" s="210">
        <v>749</v>
      </c>
      <c r="R48" s="211">
        <f>+Q48</f>
        <v>749</v>
      </c>
      <c r="S48" s="210">
        <v>749</v>
      </c>
      <c r="T48" s="210">
        <v>724</v>
      </c>
      <c r="U48" s="210">
        <v>733</v>
      </c>
      <c r="V48" s="210">
        <v>743</v>
      </c>
      <c r="W48" s="211">
        <f>+V48</f>
        <v>743</v>
      </c>
    </row>
    <row r="49" spans="1:23" ht="17.25" customHeight="1">
      <c r="A49" s="7"/>
      <c r="B49" s="2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</row>
    <row r="50" spans="1:23" ht="17.25" customHeight="1">
      <c r="A50" s="7"/>
      <c r="B50" s="13" t="s">
        <v>6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</row>
    <row r="51" spans="1:23" ht="17.25" customHeight="1">
      <c r="A51" s="7"/>
      <c r="B51" s="14" t="s">
        <v>76</v>
      </c>
      <c r="C51" s="213">
        <v>1940</v>
      </c>
      <c r="D51" s="213">
        <v>1960</v>
      </c>
      <c r="E51" s="213">
        <v>1960</v>
      </c>
      <c r="F51" s="213">
        <v>1960</v>
      </c>
      <c r="G51" s="213">
        <v>1980</v>
      </c>
      <c r="H51" s="214">
        <f aca="true" t="shared" si="19" ref="H51:H56">+G51</f>
        <v>1980</v>
      </c>
      <c r="I51" s="213">
        <v>1940</v>
      </c>
      <c r="J51" s="213">
        <v>1920</v>
      </c>
      <c r="K51" s="213">
        <v>1910</v>
      </c>
      <c r="L51" s="213">
        <v>1980</v>
      </c>
      <c r="M51" s="214">
        <f aca="true" t="shared" si="20" ref="M51:M56">+L51</f>
        <v>1980</v>
      </c>
      <c r="N51" s="213">
        <v>2000</v>
      </c>
      <c r="O51" s="213">
        <v>1990</v>
      </c>
      <c r="P51" s="213">
        <v>2010</v>
      </c>
      <c r="Q51" s="213">
        <v>2020</v>
      </c>
      <c r="R51" s="214">
        <f aca="true" t="shared" si="21" ref="R51:R56">+Q51</f>
        <v>2020</v>
      </c>
      <c r="S51" s="213">
        <v>2050</v>
      </c>
      <c r="T51" s="213">
        <v>2040</v>
      </c>
      <c r="U51" s="213">
        <v>1970</v>
      </c>
      <c r="V51" s="213">
        <v>1950</v>
      </c>
      <c r="W51" s="214">
        <f aca="true" t="shared" si="22" ref="W51:W56">+V51</f>
        <v>1950</v>
      </c>
    </row>
    <row r="52" spans="1:23" s="20" customFormat="1" ht="17.25" customHeight="1">
      <c r="A52" s="7"/>
      <c r="B52" s="17" t="s">
        <v>78</v>
      </c>
      <c r="C52" s="215">
        <v>1140</v>
      </c>
      <c r="D52" s="215">
        <v>1190</v>
      </c>
      <c r="E52" s="215">
        <v>1210</v>
      </c>
      <c r="F52" s="215">
        <v>1240</v>
      </c>
      <c r="G52" s="215">
        <v>1250</v>
      </c>
      <c r="H52" s="216">
        <f t="shared" si="19"/>
        <v>1250</v>
      </c>
      <c r="I52" s="215">
        <v>1220</v>
      </c>
      <c r="J52" s="215">
        <v>1220</v>
      </c>
      <c r="K52" s="215">
        <v>1180</v>
      </c>
      <c r="L52" s="215">
        <v>1190</v>
      </c>
      <c r="M52" s="216">
        <f t="shared" si="20"/>
        <v>1190</v>
      </c>
      <c r="N52" s="215">
        <v>1210</v>
      </c>
      <c r="O52" s="215">
        <v>1240</v>
      </c>
      <c r="P52" s="215">
        <v>1260</v>
      </c>
      <c r="Q52" s="215">
        <v>1260</v>
      </c>
      <c r="R52" s="216">
        <f t="shared" si="21"/>
        <v>1260</v>
      </c>
      <c r="S52" s="215">
        <v>1240</v>
      </c>
      <c r="T52" s="215">
        <v>1240</v>
      </c>
      <c r="U52" s="215">
        <v>1210</v>
      </c>
      <c r="V52" s="215">
        <v>1180</v>
      </c>
      <c r="W52" s="216">
        <f t="shared" si="22"/>
        <v>1180</v>
      </c>
    </row>
    <row r="53" spans="1:23" s="20" customFormat="1" ht="17.25" customHeight="1">
      <c r="A53" s="7"/>
      <c r="B53" s="17" t="s">
        <v>77</v>
      </c>
      <c r="C53" s="215">
        <v>440</v>
      </c>
      <c r="D53" s="215">
        <v>450</v>
      </c>
      <c r="E53" s="215">
        <v>480</v>
      </c>
      <c r="F53" s="215">
        <v>540</v>
      </c>
      <c r="G53" s="215">
        <v>540</v>
      </c>
      <c r="H53" s="216">
        <f t="shared" si="19"/>
        <v>540</v>
      </c>
      <c r="I53" s="215">
        <v>530</v>
      </c>
      <c r="J53" s="215">
        <v>560</v>
      </c>
      <c r="K53" s="215">
        <v>560</v>
      </c>
      <c r="L53" s="215">
        <v>550</v>
      </c>
      <c r="M53" s="216">
        <f t="shared" si="20"/>
        <v>550</v>
      </c>
      <c r="N53" s="215">
        <v>540</v>
      </c>
      <c r="O53" s="215">
        <v>550</v>
      </c>
      <c r="P53" s="215">
        <v>560</v>
      </c>
      <c r="Q53" s="215">
        <v>560</v>
      </c>
      <c r="R53" s="216">
        <f t="shared" si="21"/>
        <v>560</v>
      </c>
      <c r="S53" s="215">
        <v>550</v>
      </c>
      <c r="T53" s="215">
        <v>560</v>
      </c>
      <c r="U53" s="215">
        <v>570</v>
      </c>
      <c r="V53" s="215">
        <v>550</v>
      </c>
      <c r="W53" s="216">
        <f t="shared" si="22"/>
        <v>550</v>
      </c>
    </row>
    <row r="54" spans="1:23" s="20" customFormat="1" ht="17.25" customHeight="1">
      <c r="A54" s="7"/>
      <c r="B54" s="21" t="s">
        <v>79</v>
      </c>
      <c r="C54" s="217">
        <v>340</v>
      </c>
      <c r="D54" s="217">
        <v>370</v>
      </c>
      <c r="E54" s="217">
        <v>430</v>
      </c>
      <c r="F54" s="217">
        <v>440</v>
      </c>
      <c r="G54" s="217">
        <v>410</v>
      </c>
      <c r="H54" s="212">
        <f t="shared" si="19"/>
        <v>410</v>
      </c>
      <c r="I54" s="217">
        <v>380</v>
      </c>
      <c r="J54" s="217">
        <v>380</v>
      </c>
      <c r="K54" s="217">
        <v>380</v>
      </c>
      <c r="L54" s="217">
        <v>360</v>
      </c>
      <c r="M54" s="212">
        <f t="shared" si="20"/>
        <v>360</v>
      </c>
      <c r="N54" s="217">
        <v>360</v>
      </c>
      <c r="O54" s="217">
        <v>350</v>
      </c>
      <c r="P54" s="217">
        <v>360</v>
      </c>
      <c r="Q54" s="217">
        <v>360</v>
      </c>
      <c r="R54" s="212">
        <f t="shared" si="21"/>
        <v>360</v>
      </c>
      <c r="S54" s="217">
        <v>360</v>
      </c>
      <c r="T54" s="217">
        <v>370</v>
      </c>
      <c r="U54" s="217">
        <v>370</v>
      </c>
      <c r="V54" s="217">
        <v>360</v>
      </c>
      <c r="W54" s="212">
        <f t="shared" si="22"/>
        <v>360</v>
      </c>
    </row>
    <row r="55" spans="1:23" ht="17.25" customHeight="1">
      <c r="A55" s="7"/>
      <c r="B55" s="32" t="s">
        <v>136</v>
      </c>
      <c r="C55" s="218">
        <f>SUM(C51:C54)</f>
        <v>3860</v>
      </c>
      <c r="D55" s="218">
        <f>SUM(D51:D54)</f>
        <v>3970</v>
      </c>
      <c r="E55" s="218">
        <f>SUM(E51:E54)</f>
        <v>4080</v>
      </c>
      <c r="F55" s="218">
        <f>SUM(F51:F54)</f>
        <v>4180</v>
      </c>
      <c r="G55" s="218">
        <f>SUM(G51:G54)</f>
        <v>4180</v>
      </c>
      <c r="H55" s="218">
        <f t="shared" si="19"/>
        <v>4180</v>
      </c>
      <c r="I55" s="218">
        <f>SUM(I51:I54)</f>
        <v>4070</v>
      </c>
      <c r="J55" s="218">
        <f>SUM(J51:J54)</f>
        <v>4080</v>
      </c>
      <c r="K55" s="218">
        <f>SUM(K51:K54)</f>
        <v>4030</v>
      </c>
      <c r="L55" s="218">
        <f>SUM(L51:L54)</f>
        <v>4080</v>
      </c>
      <c r="M55" s="218">
        <f t="shared" si="20"/>
        <v>4080</v>
      </c>
      <c r="N55" s="218">
        <f>SUM(N51:N54)</f>
        <v>4110</v>
      </c>
      <c r="O55" s="218">
        <f>SUM(O51:O54)</f>
        <v>4130</v>
      </c>
      <c r="P55" s="218">
        <f>SUM(P51:P54)</f>
        <v>4190</v>
      </c>
      <c r="Q55" s="218">
        <f>SUM(Q51:Q54)</f>
        <v>4200</v>
      </c>
      <c r="R55" s="218">
        <f t="shared" si="21"/>
        <v>4200</v>
      </c>
      <c r="S55" s="218">
        <f>SUM(S51:S54)</f>
        <v>4200</v>
      </c>
      <c r="T55" s="218">
        <f>SUM(T51:T54)</f>
        <v>4210</v>
      </c>
      <c r="U55" s="218">
        <f>SUM(U51:U54)</f>
        <v>4120</v>
      </c>
      <c r="V55" s="218">
        <f>SUM(V51:V54)</f>
        <v>4040</v>
      </c>
      <c r="W55" s="218">
        <f t="shared" si="22"/>
        <v>4040</v>
      </c>
    </row>
    <row r="56" spans="1:23" ht="17.25" customHeight="1">
      <c r="A56" s="7"/>
      <c r="B56" s="31" t="s">
        <v>137</v>
      </c>
      <c r="C56" s="194">
        <v>460</v>
      </c>
      <c r="D56" s="194">
        <v>460</v>
      </c>
      <c r="E56" s="194">
        <v>480</v>
      </c>
      <c r="F56" s="194">
        <v>500</v>
      </c>
      <c r="G56" s="194">
        <v>490</v>
      </c>
      <c r="H56" s="219">
        <f t="shared" si="19"/>
        <v>490</v>
      </c>
      <c r="I56" s="205">
        <v>500</v>
      </c>
      <c r="J56" s="205">
        <v>490</v>
      </c>
      <c r="K56" s="205">
        <v>490</v>
      </c>
      <c r="L56" s="194">
        <v>490</v>
      </c>
      <c r="M56" s="219">
        <f t="shared" si="20"/>
        <v>490</v>
      </c>
      <c r="N56" s="205">
        <v>490</v>
      </c>
      <c r="O56" s="205">
        <v>480</v>
      </c>
      <c r="P56" s="205">
        <v>490</v>
      </c>
      <c r="Q56" s="194">
        <v>490</v>
      </c>
      <c r="R56" s="200">
        <f t="shared" si="21"/>
        <v>490</v>
      </c>
      <c r="S56" s="194">
        <v>490</v>
      </c>
      <c r="T56" s="194">
        <v>500</v>
      </c>
      <c r="U56" s="194">
        <v>500</v>
      </c>
      <c r="V56" s="194">
        <v>520</v>
      </c>
      <c r="W56" s="200">
        <f t="shared" si="22"/>
        <v>520</v>
      </c>
    </row>
    <row r="57" spans="1:23" ht="17.25" customHeight="1" thickBot="1">
      <c r="A57" s="7"/>
      <c r="B57" s="38" t="s">
        <v>6</v>
      </c>
      <c r="C57" s="201">
        <f>+C55+C56</f>
        <v>4320</v>
      </c>
      <c r="D57" s="201">
        <f aca="true" t="shared" si="23" ref="D57:J57">+D55+D56</f>
        <v>4430</v>
      </c>
      <c r="E57" s="201">
        <f t="shared" si="23"/>
        <v>4560</v>
      </c>
      <c r="F57" s="201">
        <f t="shared" si="23"/>
        <v>4680</v>
      </c>
      <c r="G57" s="201">
        <f t="shared" si="23"/>
        <v>4670</v>
      </c>
      <c r="H57" s="201">
        <f t="shared" si="23"/>
        <v>4670</v>
      </c>
      <c r="I57" s="201">
        <f t="shared" si="23"/>
        <v>4570</v>
      </c>
      <c r="J57" s="201">
        <f t="shared" si="23"/>
        <v>4570</v>
      </c>
      <c r="K57" s="201">
        <f aca="true" t="shared" si="24" ref="K57:P57">+K55+K56</f>
        <v>4520</v>
      </c>
      <c r="L57" s="201">
        <f t="shared" si="24"/>
        <v>4570</v>
      </c>
      <c r="M57" s="201">
        <f t="shared" si="24"/>
        <v>4570</v>
      </c>
      <c r="N57" s="201">
        <f t="shared" si="24"/>
        <v>4600</v>
      </c>
      <c r="O57" s="201">
        <f t="shared" si="24"/>
        <v>4610</v>
      </c>
      <c r="P57" s="201">
        <f t="shared" si="24"/>
        <v>4680</v>
      </c>
      <c r="Q57" s="201">
        <f aca="true" t="shared" si="25" ref="Q57:W57">+Q55+Q56</f>
        <v>4690</v>
      </c>
      <c r="R57" s="201">
        <f t="shared" si="25"/>
        <v>4690</v>
      </c>
      <c r="S57" s="201">
        <f t="shared" si="25"/>
        <v>4690</v>
      </c>
      <c r="T57" s="201">
        <f t="shared" si="25"/>
        <v>4710</v>
      </c>
      <c r="U57" s="201">
        <f t="shared" si="25"/>
        <v>4620</v>
      </c>
      <c r="V57" s="201">
        <f t="shared" si="25"/>
        <v>4560</v>
      </c>
      <c r="W57" s="201">
        <f t="shared" si="25"/>
        <v>4560</v>
      </c>
    </row>
    <row r="58" spans="1:23" ht="17.25" customHeight="1">
      <c r="A58" s="7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</row>
    <row r="59" spans="1:23" ht="17.2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9" ht="11.25" customHeight="1"/>
    <row r="77" ht="13.5" customHeight="1"/>
    <row r="93" ht="11.25" customHeight="1"/>
  </sheetData>
  <sheetProtection/>
  <mergeCells count="1">
    <mergeCell ref="B1:B2"/>
  </mergeCells>
  <conditionalFormatting sqref="C38:W38 C33:W33 C13:W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4" r:id="rId1"/>
  <headerFooter alignWithMargins="0">
    <oddFooter>&amp;C&amp;A</oddFooter>
  </headerFooter>
  <rowBreaks count="1" manualBreakCount="1">
    <brk id="33" max="22" man="1"/>
  </rowBreaks>
  <ignoredErrors>
    <ignoredError sqref="H30 H32 H36:H37" formulaRange="1"/>
    <ignoredError sqref="M32 R32 H42 H45 H5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="80" zoomScaleNormal="80" zoomScalePageLayoutView="0" workbookViewId="0" topLeftCell="A1">
      <pane xSplit="2" ySplit="2" topLeftCell="H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H3" sqref="H3"/>
    </sheetView>
  </sheetViews>
  <sheetFormatPr defaultColWidth="1.7109375" defaultRowHeight="17.25" customHeight="1" outlineLevelCol="1"/>
  <cols>
    <col min="1" max="1" width="2.7109375" style="1" customWidth="1"/>
    <col min="2" max="2" width="39.710937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9" width="11.57421875" style="1" customWidth="1"/>
    <col min="30" max="16384" width="1.7109375" style="1" customWidth="1"/>
  </cols>
  <sheetData>
    <row r="1" spans="1:23" ht="19.5" customHeight="1">
      <c r="A1" s="2"/>
      <c r="B1" s="421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.75" customHeight="1">
      <c r="A2" s="4"/>
      <c r="B2" s="422"/>
      <c r="C2" s="6">
        <v>2007</v>
      </c>
      <c r="D2" s="5" t="s">
        <v>74</v>
      </c>
      <c r="E2" s="5" t="s">
        <v>95</v>
      </c>
      <c r="F2" s="5" t="s">
        <v>96</v>
      </c>
      <c r="G2" s="5" t="s">
        <v>97</v>
      </c>
      <c r="H2" s="6">
        <v>2008</v>
      </c>
      <c r="I2" s="5" t="s">
        <v>112</v>
      </c>
      <c r="J2" s="5" t="s">
        <v>124</v>
      </c>
      <c r="K2" s="5" t="s">
        <v>152</v>
      </c>
      <c r="L2" s="5" t="s">
        <v>166</v>
      </c>
      <c r="M2" s="6">
        <v>2009</v>
      </c>
      <c r="N2" s="5" t="s">
        <v>168</v>
      </c>
      <c r="O2" s="5" t="s">
        <v>177</v>
      </c>
      <c r="P2" s="5" t="s">
        <v>181</v>
      </c>
      <c r="Q2" s="5" t="s">
        <v>182</v>
      </c>
      <c r="R2" s="6">
        <v>2010</v>
      </c>
      <c r="S2" s="5" t="s">
        <v>184</v>
      </c>
      <c r="T2" s="5" t="s">
        <v>220</v>
      </c>
      <c r="U2" s="5" t="s">
        <v>225</v>
      </c>
      <c r="V2" s="5" t="s">
        <v>226</v>
      </c>
      <c r="W2" s="6">
        <v>2011</v>
      </c>
    </row>
    <row r="3" spans="1:23" ht="17.25" customHeight="1">
      <c r="A3" s="7"/>
      <c r="B3" s="187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3" ht="17.25" customHeight="1" thickBot="1">
      <c r="A4" s="7"/>
      <c r="B4" s="9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7.25" customHeight="1" thickTop="1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7.25" customHeight="1">
      <c r="A6" s="7"/>
      <c r="B6" s="88" t="s">
        <v>85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17.25" customHeight="1">
      <c r="A7" s="7"/>
      <c r="B7" s="80" t="s">
        <v>76</v>
      </c>
      <c r="C7" s="237">
        <v>392.2</v>
      </c>
      <c r="D7" s="237">
        <v>362</v>
      </c>
      <c r="E7" s="237">
        <v>366.8</v>
      </c>
      <c r="F7" s="237">
        <v>353</v>
      </c>
      <c r="G7" s="237">
        <v>301.3</v>
      </c>
      <c r="H7" s="238">
        <f>+G7</f>
        <v>301.3</v>
      </c>
      <c r="I7" s="237">
        <v>303.6</v>
      </c>
      <c r="J7" s="237">
        <v>320.3</v>
      </c>
      <c r="K7" s="237">
        <v>335.3</v>
      </c>
      <c r="L7" s="237">
        <v>328.2</v>
      </c>
      <c r="M7" s="238">
        <f>+L7</f>
        <v>328.2</v>
      </c>
      <c r="N7" s="237">
        <v>337.5</v>
      </c>
      <c r="O7" s="237">
        <v>325.2</v>
      </c>
      <c r="P7" s="237">
        <v>327.4</v>
      </c>
      <c r="Q7" s="237">
        <v>323.7</v>
      </c>
      <c r="R7" s="238">
        <f>+Q7</f>
        <v>323.7</v>
      </c>
      <c r="S7" s="237">
        <v>331</v>
      </c>
      <c r="T7" s="237">
        <v>315</v>
      </c>
      <c r="U7" s="237">
        <v>301.9</v>
      </c>
      <c r="V7" s="237">
        <v>305.2</v>
      </c>
      <c r="W7" s="238">
        <f>+V7</f>
        <v>305.2</v>
      </c>
    </row>
    <row r="8" spans="1:23" ht="17.25" customHeight="1">
      <c r="A8" s="7"/>
      <c r="B8" s="82" t="s">
        <v>78</v>
      </c>
      <c r="C8" s="239">
        <v>312.4</v>
      </c>
      <c r="D8" s="239">
        <v>274.8</v>
      </c>
      <c r="E8" s="239">
        <v>285.4</v>
      </c>
      <c r="F8" s="239">
        <v>279.5</v>
      </c>
      <c r="G8" s="239">
        <v>243.2</v>
      </c>
      <c r="H8" s="240">
        <f>+G8</f>
        <v>243.2</v>
      </c>
      <c r="I8" s="239">
        <v>250.4</v>
      </c>
      <c r="J8" s="239">
        <v>264.8</v>
      </c>
      <c r="K8" s="239">
        <v>271.7</v>
      </c>
      <c r="L8" s="239">
        <v>277.3</v>
      </c>
      <c r="M8" s="240">
        <f>+L8</f>
        <v>277.3</v>
      </c>
      <c r="N8" s="239">
        <v>277.5</v>
      </c>
      <c r="O8" s="239">
        <v>268.9</v>
      </c>
      <c r="P8" s="239">
        <v>271.7</v>
      </c>
      <c r="Q8" s="239">
        <v>268.6</v>
      </c>
      <c r="R8" s="240">
        <f>+Q8</f>
        <v>268.6</v>
      </c>
      <c r="S8" s="239">
        <v>277.1</v>
      </c>
      <c r="T8" s="239">
        <v>261.8</v>
      </c>
      <c r="U8" s="239">
        <v>252.7</v>
      </c>
      <c r="V8" s="239">
        <v>262.4</v>
      </c>
      <c r="W8" s="240">
        <f>+V8</f>
        <v>262.4</v>
      </c>
    </row>
    <row r="9" spans="1:23" ht="17.25" customHeight="1">
      <c r="A9" s="7"/>
      <c r="B9" s="82" t="s">
        <v>77</v>
      </c>
      <c r="C9" s="239">
        <v>123.7</v>
      </c>
      <c r="D9" s="239">
        <v>109.8</v>
      </c>
      <c r="E9" s="239">
        <v>112.7</v>
      </c>
      <c r="F9" s="239">
        <v>113.5</v>
      </c>
      <c r="G9" s="239">
        <v>103.2</v>
      </c>
      <c r="H9" s="240">
        <f>+G9</f>
        <v>103.2</v>
      </c>
      <c r="I9" s="239">
        <v>109.5</v>
      </c>
      <c r="J9" s="239">
        <v>116.7</v>
      </c>
      <c r="K9" s="239">
        <v>123.3</v>
      </c>
      <c r="L9" s="239">
        <v>129.6</v>
      </c>
      <c r="M9" s="240">
        <f>+L9</f>
        <v>129.6</v>
      </c>
      <c r="N9" s="239">
        <v>135.6</v>
      </c>
      <c r="O9" s="239">
        <v>135.7</v>
      </c>
      <c r="P9" s="239">
        <v>135.8</v>
      </c>
      <c r="Q9" s="239">
        <v>137.2</v>
      </c>
      <c r="R9" s="240">
        <f>+Q9</f>
        <v>137.2</v>
      </c>
      <c r="S9" s="239">
        <v>139.4</v>
      </c>
      <c r="T9" s="239">
        <v>132.1</v>
      </c>
      <c r="U9" s="239">
        <v>129.9</v>
      </c>
      <c r="V9" s="239">
        <v>140.9</v>
      </c>
      <c r="W9" s="240">
        <f>+V9</f>
        <v>140.9</v>
      </c>
    </row>
    <row r="10" spans="1:23" ht="17.25" customHeight="1">
      <c r="A10" s="7"/>
      <c r="B10" s="83" t="s">
        <v>86</v>
      </c>
      <c r="C10" s="241">
        <v>65.5</v>
      </c>
      <c r="D10" s="241">
        <v>56.1</v>
      </c>
      <c r="E10" s="241">
        <v>61.6</v>
      </c>
      <c r="F10" s="241">
        <v>57.1</v>
      </c>
      <c r="G10" s="241">
        <v>46.5</v>
      </c>
      <c r="H10" s="242">
        <f>+G10</f>
        <v>46.5</v>
      </c>
      <c r="I10" s="241">
        <v>51.4</v>
      </c>
      <c r="J10" s="241">
        <v>59.3</v>
      </c>
      <c r="K10" s="241">
        <v>62.5</v>
      </c>
      <c r="L10" s="241">
        <v>67.7</v>
      </c>
      <c r="M10" s="242">
        <f>+L10</f>
        <v>67.7</v>
      </c>
      <c r="N10" s="241">
        <v>74.2</v>
      </c>
      <c r="O10" s="241">
        <v>75.5</v>
      </c>
      <c r="P10" s="241">
        <v>78.2</v>
      </c>
      <c r="Q10" s="241">
        <v>78.5</v>
      </c>
      <c r="R10" s="242">
        <f>+Q10</f>
        <v>78.5</v>
      </c>
      <c r="S10" s="241">
        <v>82.1</v>
      </c>
      <c r="T10" s="241">
        <v>78.1</v>
      </c>
      <c r="U10" s="241">
        <v>77.6</v>
      </c>
      <c r="V10" s="241">
        <v>83</v>
      </c>
      <c r="W10" s="242">
        <f>+V10</f>
        <v>83</v>
      </c>
    </row>
    <row r="11" spans="1:23" ht="17.25" customHeight="1">
      <c r="A11" s="7"/>
      <c r="B11" s="32" t="s">
        <v>138</v>
      </c>
      <c r="C11" s="235">
        <f>SUM(C7:C10)</f>
        <v>893.8</v>
      </c>
      <c r="D11" s="235">
        <f>SUM(D7:D10)</f>
        <v>802.7</v>
      </c>
      <c r="E11" s="235">
        <f>SUM(E7:E10)</f>
        <v>826.5</v>
      </c>
      <c r="F11" s="235">
        <f>SUM(F7:F10)</f>
        <v>803.1</v>
      </c>
      <c r="G11" s="235">
        <f>SUM(G7:G10)</f>
        <v>694.2</v>
      </c>
      <c r="H11" s="235">
        <f>+G11</f>
        <v>694.2</v>
      </c>
      <c r="I11" s="235">
        <f>SUM(I7:I10)</f>
        <v>714.9</v>
      </c>
      <c r="J11" s="235">
        <f>SUM(J7:J10)</f>
        <v>761.1</v>
      </c>
      <c r="K11" s="235">
        <f>SUM(K7:K10)</f>
        <v>792.8</v>
      </c>
      <c r="L11" s="235">
        <f>SUM(L7:L10)</f>
        <v>802.8</v>
      </c>
      <c r="M11" s="235">
        <f>+L11</f>
        <v>802.8</v>
      </c>
      <c r="N11" s="235">
        <f>SUM(N7:N10)</f>
        <v>824.8</v>
      </c>
      <c r="O11" s="235">
        <f>SUM(O7:O10)</f>
        <v>805.3</v>
      </c>
      <c r="P11" s="235">
        <f>SUM(P7:P10)</f>
        <v>813.1</v>
      </c>
      <c r="Q11" s="235">
        <f>SUM(Q7:Q10)</f>
        <v>808</v>
      </c>
      <c r="R11" s="235">
        <f>+Q11</f>
        <v>808</v>
      </c>
      <c r="S11" s="235">
        <f>SUM(S7:S10)</f>
        <v>829.6</v>
      </c>
      <c r="T11" s="235">
        <f>SUM(T7:T10)</f>
        <v>787</v>
      </c>
      <c r="U11" s="235">
        <f>SUM(U7:U10)</f>
        <v>762.1</v>
      </c>
      <c r="V11" s="235">
        <f>SUM(V7:V10)</f>
        <v>791.5</v>
      </c>
      <c r="W11" s="235">
        <f>+V11</f>
        <v>791.5</v>
      </c>
    </row>
    <row r="12" spans="1:23" ht="17.25" customHeight="1">
      <c r="A12" s="7"/>
      <c r="B12" s="32" t="s">
        <v>139</v>
      </c>
      <c r="C12" s="243">
        <v>101.6</v>
      </c>
      <c r="D12" s="243">
        <v>96.9</v>
      </c>
      <c r="E12" s="243">
        <v>100.3</v>
      </c>
      <c r="F12" s="243">
        <v>101.2</v>
      </c>
      <c r="G12" s="243">
        <v>94.7</v>
      </c>
      <c r="H12" s="235">
        <f>+CIC!H27</f>
        <v>94.7</v>
      </c>
      <c r="I12" s="243">
        <v>93.8</v>
      </c>
      <c r="J12" s="243">
        <v>101.1</v>
      </c>
      <c r="K12" s="243">
        <v>109</v>
      </c>
      <c r="L12" s="243">
        <v>112.1</v>
      </c>
      <c r="M12" s="235">
        <f>+CIC!M27</f>
        <v>112.1</v>
      </c>
      <c r="N12" s="243">
        <v>120.9</v>
      </c>
      <c r="O12" s="243">
        <v>120.3</v>
      </c>
      <c r="P12" s="243">
        <v>122</v>
      </c>
      <c r="Q12" s="243">
        <v>124.9</v>
      </c>
      <c r="R12" s="235">
        <f>+CIC!R27</f>
        <v>124.9</v>
      </c>
      <c r="S12" s="243">
        <v>128.3</v>
      </c>
      <c r="T12" s="243">
        <v>132.1</v>
      </c>
      <c r="U12" s="243">
        <v>129.3</v>
      </c>
      <c r="V12" s="243">
        <v>136.4</v>
      </c>
      <c r="W12" s="235">
        <f>+CIC!W27</f>
        <v>136.4</v>
      </c>
    </row>
    <row r="13" spans="1:23" ht="17.25" customHeight="1" thickBot="1">
      <c r="A13" s="7"/>
      <c r="B13" s="90" t="s">
        <v>83</v>
      </c>
      <c r="C13" s="244">
        <f>+C11+C12</f>
        <v>995.4</v>
      </c>
      <c r="D13" s="244">
        <f>+D11+D12</f>
        <v>899.6</v>
      </c>
      <c r="E13" s="244">
        <f>+E11+E12</f>
        <v>926.8</v>
      </c>
      <c r="F13" s="244">
        <f>+F11+F12</f>
        <v>904.3</v>
      </c>
      <c r="G13" s="244">
        <f>+G11+G12</f>
        <v>788.9</v>
      </c>
      <c r="H13" s="244">
        <f>+G13</f>
        <v>788.9</v>
      </c>
      <c r="I13" s="244">
        <f>+I11+I12</f>
        <v>808.7</v>
      </c>
      <c r="J13" s="244">
        <f>+J11+J12</f>
        <v>862.2</v>
      </c>
      <c r="K13" s="244">
        <f>+K11+K12</f>
        <v>901.8</v>
      </c>
      <c r="L13" s="244">
        <f>+L11+L12</f>
        <v>914.9</v>
      </c>
      <c r="M13" s="244">
        <f>+L13</f>
        <v>914.9</v>
      </c>
      <c r="N13" s="244">
        <f>+N11+N12</f>
        <v>945.7</v>
      </c>
      <c r="O13" s="244">
        <f>+O11+O12</f>
        <v>925.6</v>
      </c>
      <c r="P13" s="244">
        <f>+P11+P12</f>
        <v>935.1</v>
      </c>
      <c r="Q13" s="244">
        <f>+Q11+Q12</f>
        <v>932.9</v>
      </c>
      <c r="R13" s="244">
        <f>+Q13</f>
        <v>932.9</v>
      </c>
      <c r="S13" s="244">
        <f>+S11+S12</f>
        <v>957.9</v>
      </c>
      <c r="T13" s="244">
        <f>+T11+T12</f>
        <v>919.1</v>
      </c>
      <c r="U13" s="244">
        <f>+U11+U12</f>
        <v>891.4</v>
      </c>
      <c r="V13" s="244">
        <f>+V11+V12</f>
        <v>927.9</v>
      </c>
      <c r="W13" s="244">
        <f>+V13</f>
        <v>927.9</v>
      </c>
    </row>
    <row r="14" spans="1:23" ht="17.25" customHeight="1">
      <c r="A14" s="7"/>
      <c r="B14" s="85"/>
      <c r="C14" s="86"/>
      <c r="D14" s="86"/>
      <c r="E14" s="130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17.25" customHeight="1">
      <c r="A15" s="7"/>
      <c r="B15" s="88" t="s">
        <v>175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1:23" s="20" customFormat="1" ht="17.25" customHeight="1" thickBot="1">
      <c r="A16" s="7"/>
      <c r="B16" s="311" t="s">
        <v>176</v>
      </c>
      <c r="C16" s="312">
        <v>988.2</v>
      </c>
      <c r="D16" s="312">
        <v>941.5</v>
      </c>
      <c r="E16" s="312">
        <v>941.4</v>
      </c>
      <c r="F16" s="312">
        <v>937.2</v>
      </c>
      <c r="G16" s="312">
        <v>844.9</v>
      </c>
      <c r="H16" s="312">
        <v>916.3</v>
      </c>
      <c r="I16" s="312">
        <v>803.1</v>
      </c>
      <c r="J16" s="312">
        <v>840.2</v>
      </c>
      <c r="K16" s="312">
        <v>884.7</v>
      </c>
      <c r="L16" s="312">
        <v>900.8</v>
      </c>
      <c r="M16" s="312">
        <v>857.2</v>
      </c>
      <c r="N16" s="312">
        <v>930.4</v>
      </c>
      <c r="O16" s="312">
        <v>959.1</v>
      </c>
      <c r="P16" s="312">
        <v>929.3</v>
      </c>
      <c r="Q16" s="312">
        <v>948.5</v>
      </c>
      <c r="R16" s="312">
        <v>941.8</v>
      </c>
      <c r="S16" s="312">
        <v>951</v>
      </c>
      <c r="T16" s="312">
        <v>942</v>
      </c>
      <c r="U16" s="312">
        <v>882.1</v>
      </c>
      <c r="V16" s="312">
        <v>910.3</v>
      </c>
      <c r="W16" s="312">
        <v>921.4</v>
      </c>
    </row>
    <row r="17" spans="1:23" ht="17.25" customHeight="1">
      <c r="A17" s="7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7.25" customHeight="1">
      <c r="A18" s="7"/>
      <c r="B18" s="88" t="s">
        <v>84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17.25" customHeight="1">
      <c r="A19" s="7"/>
      <c r="B19" s="80" t="s">
        <v>80</v>
      </c>
      <c r="C19" s="237">
        <v>343.5</v>
      </c>
      <c r="D19" s="237">
        <v>298.7</v>
      </c>
      <c r="E19" s="237">
        <v>309.9</v>
      </c>
      <c r="F19" s="237">
        <v>313.1</v>
      </c>
      <c r="G19" s="237">
        <v>264.8</v>
      </c>
      <c r="H19" s="238">
        <f>+G19</f>
        <v>264.8</v>
      </c>
      <c r="I19" s="237">
        <v>277.2</v>
      </c>
      <c r="J19" s="237">
        <v>287.7</v>
      </c>
      <c r="K19" s="237">
        <v>293.7</v>
      </c>
      <c r="L19" s="237">
        <v>298.2</v>
      </c>
      <c r="M19" s="238">
        <f>+L19</f>
        <v>298.2</v>
      </c>
      <c r="N19" s="237">
        <v>308.5</v>
      </c>
      <c r="O19" s="237">
        <v>310.7</v>
      </c>
      <c r="P19" s="237">
        <v>304.3</v>
      </c>
      <c r="Q19" s="237">
        <v>300.9</v>
      </c>
      <c r="R19" s="238">
        <f>+Q19</f>
        <v>300.9</v>
      </c>
      <c r="S19" s="237">
        <v>303.3</v>
      </c>
      <c r="T19" s="237">
        <v>281.8</v>
      </c>
      <c r="U19" s="237">
        <v>282.4</v>
      </c>
      <c r="V19" s="237">
        <v>296.6</v>
      </c>
      <c r="W19" s="238">
        <f>+V19</f>
        <v>296.6</v>
      </c>
    </row>
    <row r="20" spans="1:23" ht="17.25" customHeight="1">
      <c r="A20" s="7"/>
      <c r="B20" s="82" t="s">
        <v>81</v>
      </c>
      <c r="C20" s="239">
        <v>257.6</v>
      </c>
      <c r="D20" s="239">
        <v>236.9</v>
      </c>
      <c r="E20" s="239">
        <v>244.6</v>
      </c>
      <c r="F20" s="239">
        <v>233.2</v>
      </c>
      <c r="G20" s="239">
        <v>212.1</v>
      </c>
      <c r="H20" s="240">
        <f>+G20</f>
        <v>212.1</v>
      </c>
      <c r="I20" s="239">
        <v>216.5</v>
      </c>
      <c r="J20" s="239">
        <v>234.9</v>
      </c>
      <c r="K20" s="239">
        <v>247.9</v>
      </c>
      <c r="L20" s="239">
        <v>248.4</v>
      </c>
      <c r="M20" s="240">
        <f>+L20</f>
        <v>248.4</v>
      </c>
      <c r="N20" s="239">
        <v>246.8</v>
      </c>
      <c r="O20" s="239">
        <v>222.7</v>
      </c>
      <c r="P20" s="239">
        <v>229</v>
      </c>
      <c r="Q20" s="239">
        <v>220.7</v>
      </c>
      <c r="R20" s="240">
        <f>+Q20</f>
        <v>220.7</v>
      </c>
      <c r="S20" s="239">
        <v>228.4</v>
      </c>
      <c r="T20" s="239">
        <v>214.3</v>
      </c>
      <c r="U20" s="239">
        <v>199.9</v>
      </c>
      <c r="V20" s="239">
        <v>204.5</v>
      </c>
      <c r="W20" s="240">
        <f>+V20</f>
        <v>204.5</v>
      </c>
    </row>
    <row r="21" spans="1:23" ht="17.25" customHeight="1">
      <c r="A21" s="7"/>
      <c r="B21" s="82" t="s">
        <v>82</v>
      </c>
      <c r="C21" s="239">
        <v>269.9</v>
      </c>
      <c r="D21" s="239">
        <v>256.7</v>
      </c>
      <c r="E21" s="239">
        <v>257.6</v>
      </c>
      <c r="F21" s="239">
        <v>252.2</v>
      </c>
      <c r="G21" s="239">
        <v>229.7</v>
      </c>
      <c r="H21" s="240">
        <f>+G21</f>
        <v>229.7</v>
      </c>
      <c r="I21" s="239">
        <v>227.7</v>
      </c>
      <c r="J21" s="239">
        <v>238.6</v>
      </c>
      <c r="K21" s="239">
        <v>267.5</v>
      </c>
      <c r="L21" s="239">
        <v>269.9</v>
      </c>
      <c r="M21" s="240">
        <f>+L21</f>
        <v>269.9</v>
      </c>
      <c r="N21" s="239">
        <v>284.3</v>
      </c>
      <c r="O21" s="239">
        <v>283</v>
      </c>
      <c r="P21" s="239">
        <v>285.1</v>
      </c>
      <c r="Q21" s="239">
        <v>292.3</v>
      </c>
      <c r="R21" s="240">
        <f>+Q21</f>
        <v>292.3</v>
      </c>
      <c r="S21" s="239">
        <v>297.6</v>
      </c>
      <c r="T21" s="239">
        <v>297</v>
      </c>
      <c r="U21" s="239">
        <v>287.3</v>
      </c>
      <c r="V21" s="239">
        <v>296.2</v>
      </c>
      <c r="W21" s="240">
        <f>+V21</f>
        <v>296.2</v>
      </c>
    </row>
    <row r="22" spans="1:23" ht="17.25" customHeight="1">
      <c r="A22" s="7"/>
      <c r="B22" s="83" t="s">
        <v>7</v>
      </c>
      <c r="C22" s="241">
        <v>124.4</v>
      </c>
      <c r="D22" s="241">
        <v>107.3</v>
      </c>
      <c r="E22" s="241">
        <v>114.7</v>
      </c>
      <c r="F22" s="241">
        <v>105.8</v>
      </c>
      <c r="G22" s="241">
        <v>82.3</v>
      </c>
      <c r="H22" s="242">
        <f>+G22</f>
        <v>82.3</v>
      </c>
      <c r="I22" s="241">
        <v>87.3</v>
      </c>
      <c r="J22" s="241">
        <v>101</v>
      </c>
      <c r="K22" s="241">
        <v>92.7</v>
      </c>
      <c r="L22" s="241">
        <v>98.4</v>
      </c>
      <c r="M22" s="242">
        <f>+L22</f>
        <v>98.4</v>
      </c>
      <c r="N22" s="241">
        <v>106.1</v>
      </c>
      <c r="O22" s="241">
        <v>109.2</v>
      </c>
      <c r="P22" s="241">
        <v>116.7</v>
      </c>
      <c r="Q22" s="241">
        <v>119</v>
      </c>
      <c r="R22" s="242">
        <f>+Q22</f>
        <v>119</v>
      </c>
      <c r="S22" s="241">
        <v>128.6</v>
      </c>
      <c r="T22" s="241">
        <v>126</v>
      </c>
      <c r="U22" s="241">
        <v>121.8</v>
      </c>
      <c r="V22" s="241">
        <v>130.6</v>
      </c>
      <c r="W22" s="242">
        <f>+V22</f>
        <v>130.6</v>
      </c>
    </row>
    <row r="23" spans="1:23" ht="17.25" customHeight="1" thickBot="1">
      <c r="A23" s="7"/>
      <c r="B23" s="87" t="s">
        <v>83</v>
      </c>
      <c r="C23" s="234">
        <f>IF((SUM(C19:C22))=C13,SUM(C19:C22),"Error")</f>
        <v>995.4</v>
      </c>
      <c r="D23" s="234">
        <f>IF((SUM(D19:D22))=D13,SUM(D19:D22),"Error")</f>
        <v>899.6</v>
      </c>
      <c r="E23" s="234">
        <f>IF((SUM(E19:E22))=E13,SUM(E19:E22),"Error")</f>
        <v>926.8</v>
      </c>
      <c r="F23" s="234">
        <f>IF((SUM(F19:F22))=F13,SUM(F19:F22),"Error")</f>
        <v>904.3</v>
      </c>
      <c r="G23" s="234">
        <f>IF((SUM(G19:G22))=G13,SUM(G19:G22),"Error")</f>
        <v>788.9</v>
      </c>
      <c r="H23" s="234">
        <f>+G23</f>
        <v>788.9</v>
      </c>
      <c r="I23" s="234">
        <f>IF((SUM(I19:I22))=I13,SUM(I19:I22),"Error")</f>
        <v>808.7</v>
      </c>
      <c r="J23" s="234">
        <f>IF((SUM(J19:J22))=J13,SUM(J19:J22),"Error")</f>
        <v>862.2</v>
      </c>
      <c r="K23" s="234">
        <f>IF((SUM(K19:K22))=K13,SUM(K19:K22),"Error")</f>
        <v>901.8</v>
      </c>
      <c r="L23" s="234">
        <f>IF((SUM(L19:L22))=L13,SUM(L19:L22),"Error")</f>
        <v>914.9</v>
      </c>
      <c r="M23" s="234">
        <f>+L23</f>
        <v>914.9</v>
      </c>
      <c r="N23" s="234">
        <f>IF((SUM(N19:N22))=N13,SUM(N19:N22),"Error")</f>
        <v>945.7</v>
      </c>
      <c r="O23" s="234">
        <f>IF((SUM(O19:O22))=O13,SUM(O19:O22),"Error")</f>
        <v>925.6</v>
      </c>
      <c r="P23" s="234">
        <f>IF((SUM(P19:P22))=P13,SUM(P19:P22),"Error")</f>
        <v>935.1</v>
      </c>
      <c r="Q23" s="234">
        <f>IF((SUM(Q19:Q22))=Q13,SUM(Q19:Q22),"Error")</f>
        <v>932.9</v>
      </c>
      <c r="R23" s="234">
        <f>+Q23</f>
        <v>932.9</v>
      </c>
      <c r="S23" s="234">
        <f>IF((SUM(S19:S22))=S13,SUM(S19:S22),"Error")</f>
        <v>957.9</v>
      </c>
      <c r="T23" s="234">
        <f>IF((SUM(T19:T22))=T13,SUM(T19:T22),"Error")</f>
        <v>919.1</v>
      </c>
      <c r="U23" s="234">
        <f>IF((SUM(U19:U22))=U13,SUM(U19:U22),"Error")</f>
        <v>891.4</v>
      </c>
      <c r="V23" s="234">
        <f>IF((SUM(V19:V22))=V13,SUM(V19:V22),"Error")</f>
        <v>927.9</v>
      </c>
      <c r="W23" s="234">
        <f>+V23</f>
        <v>927.9</v>
      </c>
    </row>
    <row r="24" spans="1:23" ht="17.25" customHeight="1">
      <c r="A24" s="7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ht="17.25" customHeight="1">
      <c r="A25" s="7"/>
      <c r="B25" s="88" t="s">
        <v>87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23" ht="18" customHeight="1">
      <c r="A26" s="7"/>
      <c r="B26" s="91" t="s">
        <v>88</v>
      </c>
      <c r="C26" s="189">
        <v>9.3</v>
      </c>
      <c r="D26" s="189">
        <v>5.6</v>
      </c>
      <c r="E26" s="189">
        <v>3.8</v>
      </c>
      <c r="F26" s="189">
        <v>0.6</v>
      </c>
      <c r="G26" s="189">
        <v>-7.5</v>
      </c>
      <c r="H26" s="245">
        <f aca="true" t="shared" si="0" ref="H26:H31">D26+E26+F26+G26</f>
        <v>2.5</v>
      </c>
      <c r="I26" s="189">
        <v>1.9</v>
      </c>
      <c r="J26" s="189">
        <v>2</v>
      </c>
      <c r="K26" s="189">
        <v>3.7</v>
      </c>
      <c r="L26" s="189">
        <v>-2.1</v>
      </c>
      <c r="M26" s="245">
        <f aca="true" t="shared" si="1" ref="M26:M31">I26+J26+K26+L26</f>
        <v>5.5</v>
      </c>
      <c r="N26" s="189">
        <v>4.5</v>
      </c>
      <c r="O26" s="189">
        <v>1.6</v>
      </c>
      <c r="P26" s="189">
        <v>1.2</v>
      </c>
      <c r="Q26" s="189">
        <v>1</v>
      </c>
      <c r="R26" s="245">
        <f>N26+O26+P26+Q26</f>
        <v>8.3</v>
      </c>
      <c r="S26" s="189">
        <v>4.7</v>
      </c>
      <c r="T26" s="189">
        <v>4.1</v>
      </c>
      <c r="U26" s="189">
        <v>-0.4</v>
      </c>
      <c r="V26" s="189">
        <v>-2.3</v>
      </c>
      <c r="W26" s="245">
        <f>S26+T26+U26+V26</f>
        <v>6.1</v>
      </c>
    </row>
    <row r="27" spans="1:23" ht="17.25" customHeight="1">
      <c r="A27" s="7"/>
      <c r="B27" s="82" t="s">
        <v>78</v>
      </c>
      <c r="C27" s="239">
        <v>26.8</v>
      </c>
      <c r="D27" s="239">
        <v>3.3</v>
      </c>
      <c r="E27" s="239">
        <v>6</v>
      </c>
      <c r="F27" s="239">
        <v>4.8</v>
      </c>
      <c r="G27" s="239">
        <v>2.3</v>
      </c>
      <c r="H27" s="240">
        <f t="shared" si="0"/>
        <v>16.4</v>
      </c>
      <c r="I27" s="239">
        <v>4.5</v>
      </c>
      <c r="J27" s="239">
        <v>2.8</v>
      </c>
      <c r="K27" s="239">
        <v>2.4</v>
      </c>
      <c r="L27" s="239">
        <v>0.6</v>
      </c>
      <c r="M27" s="240">
        <f t="shared" si="1"/>
        <v>10.3</v>
      </c>
      <c r="N27" s="239">
        <v>2.4</v>
      </c>
      <c r="O27" s="239">
        <v>5.6</v>
      </c>
      <c r="P27" s="239">
        <v>4.3</v>
      </c>
      <c r="Q27" s="239">
        <v>2.8</v>
      </c>
      <c r="R27" s="240">
        <f>N27+O27+P27+Q27</f>
        <v>15.1</v>
      </c>
      <c r="S27" s="239">
        <v>4</v>
      </c>
      <c r="T27" s="239">
        <v>2.9</v>
      </c>
      <c r="U27" s="239">
        <v>2.7</v>
      </c>
      <c r="V27" s="239">
        <v>4.1</v>
      </c>
      <c r="W27" s="240">
        <f>S27+T27+U27+V27</f>
        <v>13.7</v>
      </c>
    </row>
    <row r="28" spans="1:23" ht="17.25" customHeight="1">
      <c r="A28" s="7"/>
      <c r="B28" s="82" t="s">
        <v>77</v>
      </c>
      <c r="C28" s="239">
        <v>7.3</v>
      </c>
      <c r="D28" s="239">
        <v>3.7</v>
      </c>
      <c r="E28" s="239">
        <v>2.1</v>
      </c>
      <c r="F28" s="239">
        <v>4.3</v>
      </c>
      <c r="G28" s="239">
        <v>6.7</v>
      </c>
      <c r="H28" s="240">
        <f t="shared" si="0"/>
        <v>16.8</v>
      </c>
      <c r="I28" s="239">
        <v>0.6</v>
      </c>
      <c r="J28" s="239">
        <v>1.5</v>
      </c>
      <c r="K28" s="239">
        <v>2.8</v>
      </c>
      <c r="L28" s="239">
        <v>3.1</v>
      </c>
      <c r="M28" s="240">
        <f t="shared" si="1"/>
        <v>8</v>
      </c>
      <c r="N28" s="239">
        <v>2</v>
      </c>
      <c r="O28" s="239">
        <v>1.6</v>
      </c>
      <c r="P28" s="239">
        <v>3.1</v>
      </c>
      <c r="Q28" s="239">
        <v>2.8</v>
      </c>
      <c r="R28" s="240">
        <f>N28+O28+P28+Q28</f>
        <v>9.5</v>
      </c>
      <c r="S28" s="239">
        <v>3</v>
      </c>
      <c r="T28" s="239">
        <v>2</v>
      </c>
      <c r="U28" s="239">
        <v>1.3</v>
      </c>
      <c r="V28" s="239">
        <v>1.3</v>
      </c>
      <c r="W28" s="240">
        <f>S28+T28+U28+V28</f>
        <v>7.6</v>
      </c>
    </row>
    <row r="29" spans="1:23" ht="17.25" customHeight="1">
      <c r="A29" s="7"/>
      <c r="B29" s="83" t="s">
        <v>79</v>
      </c>
      <c r="C29" s="241">
        <v>9.3</v>
      </c>
      <c r="D29" s="241">
        <v>2.4</v>
      </c>
      <c r="E29" s="241">
        <v>4.1</v>
      </c>
      <c r="F29" s="241">
        <v>2.2</v>
      </c>
      <c r="G29" s="241">
        <v>-0.5</v>
      </c>
      <c r="H29" s="242">
        <f t="shared" si="0"/>
        <v>8.2</v>
      </c>
      <c r="I29" s="241">
        <v>2.6</v>
      </c>
      <c r="J29" s="241">
        <v>2.8</v>
      </c>
      <c r="K29" s="241">
        <v>2.3</v>
      </c>
      <c r="L29" s="241">
        <v>3.8</v>
      </c>
      <c r="M29" s="242">
        <f t="shared" si="1"/>
        <v>11.5</v>
      </c>
      <c r="N29" s="241">
        <v>4</v>
      </c>
      <c r="O29" s="241">
        <v>3.1</v>
      </c>
      <c r="P29" s="241">
        <v>3.8</v>
      </c>
      <c r="Q29" s="241">
        <v>1.5</v>
      </c>
      <c r="R29" s="242">
        <f>N29+O29+P29+Q29</f>
        <v>12.4</v>
      </c>
      <c r="S29" s="241">
        <v>4</v>
      </c>
      <c r="T29" s="241">
        <v>2.5</v>
      </c>
      <c r="U29" s="241">
        <v>3</v>
      </c>
      <c r="V29" s="241">
        <v>0.9</v>
      </c>
      <c r="W29" s="242">
        <f>S29+T29+U29+V29</f>
        <v>10.4</v>
      </c>
    </row>
    <row r="30" spans="1:23" ht="17.25" customHeight="1">
      <c r="A30" s="7"/>
      <c r="B30" s="32" t="s">
        <v>138</v>
      </c>
      <c r="C30" s="235">
        <f aca="true" t="shared" si="2" ref="C30:J30">SUM(C26:C29)</f>
        <v>52.7</v>
      </c>
      <c r="D30" s="235">
        <f t="shared" si="2"/>
        <v>15</v>
      </c>
      <c r="E30" s="235">
        <f t="shared" si="2"/>
        <v>16</v>
      </c>
      <c r="F30" s="235">
        <f t="shared" si="2"/>
        <v>11.9</v>
      </c>
      <c r="G30" s="235">
        <f t="shared" si="2"/>
        <v>1</v>
      </c>
      <c r="H30" s="235">
        <f t="shared" si="2"/>
        <v>43.9</v>
      </c>
      <c r="I30" s="235">
        <f t="shared" si="2"/>
        <v>9.6</v>
      </c>
      <c r="J30" s="235">
        <f t="shared" si="2"/>
        <v>9.1</v>
      </c>
      <c r="K30" s="235">
        <f aca="true" t="shared" si="3" ref="K30:P30">SUM(K26:K29)</f>
        <v>11.2</v>
      </c>
      <c r="L30" s="235">
        <f t="shared" si="3"/>
        <v>5.4</v>
      </c>
      <c r="M30" s="235">
        <f t="shared" si="3"/>
        <v>35.3</v>
      </c>
      <c r="N30" s="235">
        <f t="shared" si="3"/>
        <v>12.9</v>
      </c>
      <c r="O30" s="235">
        <f t="shared" si="3"/>
        <v>11.9</v>
      </c>
      <c r="P30" s="235">
        <f t="shared" si="3"/>
        <v>12.4</v>
      </c>
      <c r="Q30" s="235">
        <f aca="true" t="shared" si="4" ref="Q30:W30">SUM(Q26:Q29)</f>
        <v>8.1</v>
      </c>
      <c r="R30" s="235">
        <f t="shared" si="4"/>
        <v>45.3</v>
      </c>
      <c r="S30" s="235">
        <f t="shared" si="4"/>
        <v>15.7</v>
      </c>
      <c r="T30" s="235">
        <f t="shared" si="4"/>
        <v>11.5</v>
      </c>
      <c r="U30" s="235">
        <f t="shared" si="4"/>
        <v>6.6</v>
      </c>
      <c r="V30" s="235">
        <f t="shared" si="4"/>
        <v>4</v>
      </c>
      <c r="W30" s="235">
        <f t="shared" si="4"/>
        <v>37.8</v>
      </c>
    </row>
    <row r="31" spans="1:23" ht="17.25" customHeight="1">
      <c r="A31" s="7"/>
      <c r="B31" s="32" t="s">
        <v>139</v>
      </c>
      <c r="C31" s="243">
        <v>0.8</v>
      </c>
      <c r="D31" s="243">
        <v>2.1</v>
      </c>
      <c r="E31" s="243">
        <v>1.4</v>
      </c>
      <c r="F31" s="243">
        <v>2.6</v>
      </c>
      <c r="G31" s="243">
        <v>0.9</v>
      </c>
      <c r="H31" s="235">
        <f t="shared" si="0"/>
        <v>7</v>
      </c>
      <c r="I31" s="243">
        <v>1.8</v>
      </c>
      <c r="J31" s="243">
        <v>1.6</v>
      </c>
      <c r="K31" s="243">
        <v>1.9</v>
      </c>
      <c r="L31" s="243">
        <v>1</v>
      </c>
      <c r="M31" s="235">
        <f t="shared" si="1"/>
        <v>6.3</v>
      </c>
      <c r="N31" s="243">
        <v>5.7</v>
      </c>
      <c r="O31" s="243">
        <v>1.9</v>
      </c>
      <c r="P31" s="243">
        <v>0.2</v>
      </c>
      <c r="Q31" s="243">
        <v>1.5</v>
      </c>
      <c r="R31" s="235">
        <f>N31+O31+P31+Q31</f>
        <v>9.3</v>
      </c>
      <c r="S31" s="243">
        <v>2.3</v>
      </c>
      <c r="T31" s="415">
        <v>0</v>
      </c>
      <c r="U31" s="415">
        <v>0.8</v>
      </c>
      <c r="V31" s="415">
        <v>3.6</v>
      </c>
      <c r="W31" s="235">
        <f>S31+T31+U31+V31</f>
        <v>6.7</v>
      </c>
    </row>
    <row r="32" spans="1:23" ht="17.25" customHeight="1" thickBot="1">
      <c r="A32" s="7"/>
      <c r="B32" s="87" t="s">
        <v>66</v>
      </c>
      <c r="C32" s="244">
        <f>+C30+C31</f>
        <v>53.5</v>
      </c>
      <c r="D32" s="244">
        <f aca="true" t="shared" si="5" ref="D32:J32">+D30+D31</f>
        <v>17.1</v>
      </c>
      <c r="E32" s="244">
        <f t="shared" si="5"/>
        <v>17.4</v>
      </c>
      <c r="F32" s="244">
        <f t="shared" si="5"/>
        <v>14.5</v>
      </c>
      <c r="G32" s="244">
        <f t="shared" si="5"/>
        <v>1.9</v>
      </c>
      <c r="H32" s="244">
        <f t="shared" si="5"/>
        <v>50.9</v>
      </c>
      <c r="I32" s="244">
        <f t="shared" si="5"/>
        <v>11.4</v>
      </c>
      <c r="J32" s="244">
        <f t="shared" si="5"/>
        <v>10.7</v>
      </c>
      <c r="K32" s="244">
        <f aca="true" t="shared" si="6" ref="K32:P32">+K30+K31</f>
        <v>13.1</v>
      </c>
      <c r="L32" s="244">
        <f t="shared" si="6"/>
        <v>6.4</v>
      </c>
      <c r="M32" s="244">
        <f t="shared" si="6"/>
        <v>41.6</v>
      </c>
      <c r="N32" s="244">
        <f t="shared" si="6"/>
        <v>18.6</v>
      </c>
      <c r="O32" s="244">
        <f t="shared" si="6"/>
        <v>13.8</v>
      </c>
      <c r="P32" s="244">
        <f t="shared" si="6"/>
        <v>12.6</v>
      </c>
      <c r="Q32" s="244">
        <f aca="true" t="shared" si="7" ref="Q32:W32">+Q30+Q31</f>
        <v>9.6</v>
      </c>
      <c r="R32" s="244">
        <f t="shared" si="7"/>
        <v>54.6</v>
      </c>
      <c r="S32" s="244">
        <f t="shared" si="7"/>
        <v>18</v>
      </c>
      <c r="T32" s="244">
        <f t="shared" si="7"/>
        <v>11.5</v>
      </c>
      <c r="U32" s="244">
        <f t="shared" si="7"/>
        <v>7.4</v>
      </c>
      <c r="V32" s="244">
        <f t="shared" si="7"/>
        <v>7.6</v>
      </c>
      <c r="W32" s="244">
        <f t="shared" si="7"/>
        <v>44.5</v>
      </c>
    </row>
    <row r="33" spans="1:23" ht="17.25" customHeight="1">
      <c r="A33" s="7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ht="17.25" customHeight="1">
      <c r="A34" s="7"/>
      <c r="B34" s="13" t="s">
        <v>65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ht="17.25" customHeight="1">
      <c r="A35" s="7"/>
      <c r="B35" s="111" t="s">
        <v>66</v>
      </c>
      <c r="C35" s="268">
        <v>52.7</v>
      </c>
      <c r="D35" s="252">
        <v>15</v>
      </c>
      <c r="E35" s="252">
        <v>16</v>
      </c>
      <c r="F35" s="252">
        <v>11.9</v>
      </c>
      <c r="G35" s="252">
        <v>1</v>
      </c>
      <c r="H35" s="262">
        <f>D35+E35+F35+G35</f>
        <v>43.9</v>
      </c>
      <c r="I35" s="252">
        <v>9.6</v>
      </c>
      <c r="J35" s="252">
        <v>9.1</v>
      </c>
      <c r="K35" s="252">
        <v>11.2</v>
      </c>
      <c r="L35" s="252">
        <v>5.4</v>
      </c>
      <c r="M35" s="262">
        <f>I35+J35+K35+L35</f>
        <v>35.3</v>
      </c>
      <c r="N35" s="252">
        <v>12.9</v>
      </c>
      <c r="O35" s="252">
        <v>11.9</v>
      </c>
      <c r="P35" s="252">
        <v>12.4</v>
      </c>
      <c r="Q35" s="268">
        <v>8.1</v>
      </c>
      <c r="R35" s="227">
        <f>N35+O35+P35+Q35</f>
        <v>45.3</v>
      </c>
      <c r="S35" s="268">
        <v>15.7</v>
      </c>
      <c r="T35" s="268">
        <v>11.5</v>
      </c>
      <c r="U35" s="268">
        <v>6.6</v>
      </c>
      <c r="V35" s="268">
        <v>4</v>
      </c>
      <c r="W35" s="227">
        <f>S35+T35+U35+V35</f>
        <v>37.8</v>
      </c>
    </row>
    <row r="36" spans="1:23" ht="17.25" customHeight="1">
      <c r="A36" s="7"/>
      <c r="B36" s="188" t="s">
        <v>126</v>
      </c>
      <c r="C36" s="269">
        <v>1.5</v>
      </c>
      <c r="D36" s="253">
        <f>SUM(D37:D39)</f>
        <v>-106.1</v>
      </c>
      <c r="E36" s="253">
        <f>SUM(E37:E39)</f>
        <v>7.8</v>
      </c>
      <c r="F36" s="253">
        <f>SUM(F37:F39)</f>
        <v>-35.3</v>
      </c>
      <c r="G36" s="253">
        <f>SUM(G37:G39)</f>
        <v>-109.9</v>
      </c>
      <c r="H36" s="253">
        <f>D36+E36+F36+G36</f>
        <v>-243.5</v>
      </c>
      <c r="I36" s="253">
        <f>SUM(I37:I39)</f>
        <v>11.1</v>
      </c>
      <c r="J36" s="253">
        <f>SUM(J37:J39)</f>
        <v>37.1</v>
      </c>
      <c r="K36" s="253">
        <f>SUM(K37:K39)</f>
        <v>20.5</v>
      </c>
      <c r="L36" s="253">
        <v>4.6</v>
      </c>
      <c r="M36" s="253">
        <f>I36+J36+K36+L36</f>
        <v>73.3</v>
      </c>
      <c r="N36" s="253">
        <f>SUM(N37:N39)</f>
        <v>9.1</v>
      </c>
      <c r="O36" s="253">
        <f>SUM(O37:O39)</f>
        <v>-31.4</v>
      </c>
      <c r="P36" s="253">
        <f>SUM(P37:P39)</f>
        <v>-4.6</v>
      </c>
      <c r="Q36" s="228">
        <f>SUM(Q37:Q39)</f>
        <v>-13.2</v>
      </c>
      <c r="R36" s="228">
        <f>N36+O36+P36+Q36</f>
        <v>-40.1</v>
      </c>
      <c r="S36" s="228">
        <f>SUM(S37:S39)</f>
        <v>5.9</v>
      </c>
      <c r="T36" s="228">
        <f>SUM(T37:T39)</f>
        <v>-54.1</v>
      </c>
      <c r="U36" s="228">
        <f>SUM(U37:U39)</f>
        <v>-31.5</v>
      </c>
      <c r="V36" s="228">
        <f>SUM(V37:V39)</f>
        <v>25.4</v>
      </c>
      <c r="W36" s="228">
        <f>S36+T36+U36+V36</f>
        <v>-54.3</v>
      </c>
    </row>
    <row r="37" spans="1:23" ht="17.25" customHeight="1">
      <c r="A37" s="7"/>
      <c r="B37" s="183" t="s">
        <v>127</v>
      </c>
      <c r="C37" s="270">
        <v>0</v>
      </c>
      <c r="D37" s="254">
        <v>-45.6</v>
      </c>
      <c r="E37" s="254">
        <v>-6.7</v>
      </c>
      <c r="F37" s="254">
        <v>-58.4</v>
      </c>
      <c r="G37" s="254">
        <v>-73.1</v>
      </c>
      <c r="H37" s="259">
        <f>D37+E37+F37+G37</f>
        <v>-183.8</v>
      </c>
      <c r="I37" s="254">
        <v>-13.7</v>
      </c>
      <c r="J37" s="254">
        <v>44.8</v>
      </c>
      <c r="K37" s="254">
        <v>39.1</v>
      </c>
      <c r="L37" s="254">
        <v>13.1</v>
      </c>
      <c r="M37" s="259">
        <f>I37+J37+K37+L37</f>
        <v>83.3</v>
      </c>
      <c r="N37" s="254">
        <v>15.8</v>
      </c>
      <c r="O37" s="254">
        <v>-23.3</v>
      </c>
      <c r="P37" s="254">
        <v>26.9</v>
      </c>
      <c r="Q37" s="237">
        <v>17.4</v>
      </c>
      <c r="R37" s="238">
        <f>N37+O37+P37+Q37</f>
        <v>36.8</v>
      </c>
      <c r="S37" s="237">
        <v>7.4</v>
      </c>
      <c r="T37" s="237">
        <v>-7.2</v>
      </c>
      <c r="U37" s="237">
        <v>-52.7</v>
      </c>
      <c r="V37" s="237">
        <v>14.6</v>
      </c>
      <c r="W37" s="238">
        <f>S37+T37+U37+V37</f>
        <v>-37.9</v>
      </c>
    </row>
    <row r="38" spans="1:23" ht="17.25" customHeight="1">
      <c r="A38" s="7"/>
      <c r="B38" s="181" t="s">
        <v>128</v>
      </c>
      <c r="C38" s="271">
        <v>0</v>
      </c>
      <c r="D38" s="255">
        <v>-60</v>
      </c>
      <c r="E38" s="255">
        <v>16.2</v>
      </c>
      <c r="F38" s="255">
        <v>24.6</v>
      </c>
      <c r="G38" s="255">
        <v>-35.3</v>
      </c>
      <c r="H38" s="260">
        <f>D38+E38+F38+G38</f>
        <v>-54.5</v>
      </c>
      <c r="I38" s="255">
        <v>25.1</v>
      </c>
      <c r="J38" s="255">
        <v>-6.3</v>
      </c>
      <c r="K38" s="255">
        <v>-16.5</v>
      </c>
      <c r="L38" s="255">
        <v>-6.4</v>
      </c>
      <c r="M38" s="260">
        <f>I38+J38+K38+L38</f>
        <v>-4.1</v>
      </c>
      <c r="N38" s="255">
        <v>-4.2</v>
      </c>
      <c r="O38" s="255">
        <v>-7.4</v>
      </c>
      <c r="P38" s="255">
        <v>-30.6</v>
      </c>
      <c r="Q38" s="239">
        <v>-28.6</v>
      </c>
      <c r="R38" s="240">
        <f>N38+O38+P38+Q38</f>
        <v>-70.8</v>
      </c>
      <c r="S38" s="239">
        <v>0.1</v>
      </c>
      <c r="T38" s="239">
        <v>-41.8</v>
      </c>
      <c r="U38" s="239">
        <v>21.3</v>
      </c>
      <c r="V38" s="239">
        <v>12.2</v>
      </c>
      <c r="W38" s="240">
        <f>S38+T38+U38+V38</f>
        <v>-8.2</v>
      </c>
    </row>
    <row r="39" spans="1:23" ht="17.25" customHeight="1">
      <c r="A39" s="7"/>
      <c r="B39" s="182" t="s">
        <v>129</v>
      </c>
      <c r="C39" s="272">
        <v>0</v>
      </c>
      <c r="D39" s="256">
        <v>-0.5</v>
      </c>
      <c r="E39" s="256">
        <v>-1.7</v>
      </c>
      <c r="F39" s="256">
        <v>-1.5</v>
      </c>
      <c r="G39" s="256">
        <v>-1.5</v>
      </c>
      <c r="H39" s="261">
        <f>D39+E39+F39+G39</f>
        <v>-5.2</v>
      </c>
      <c r="I39" s="256">
        <v>-0.3</v>
      </c>
      <c r="J39" s="256">
        <v>-1.4</v>
      </c>
      <c r="K39" s="256">
        <v>-2.1</v>
      </c>
      <c r="L39" s="256">
        <v>-2.1</v>
      </c>
      <c r="M39" s="261">
        <f>I39+J39+K39+L39</f>
        <v>-5.9</v>
      </c>
      <c r="N39" s="256">
        <v>-2.5</v>
      </c>
      <c r="O39" s="256">
        <v>-0.7</v>
      </c>
      <c r="P39" s="256">
        <v>-0.9</v>
      </c>
      <c r="Q39" s="275">
        <v>-2</v>
      </c>
      <c r="R39" s="233">
        <f>N39+O39+P39+Q39</f>
        <v>-6.1</v>
      </c>
      <c r="S39" s="275">
        <v>-1.6</v>
      </c>
      <c r="T39" s="275">
        <v>-5.1</v>
      </c>
      <c r="U39" s="275">
        <v>-0.1</v>
      </c>
      <c r="V39" s="275">
        <v>-1.4</v>
      </c>
      <c r="W39" s="233">
        <f>S39+T39+U39+V39</f>
        <v>-8.2</v>
      </c>
    </row>
    <row r="40" spans="1:23" ht="17.25" customHeight="1">
      <c r="A40" s="7"/>
      <c r="B40" s="32" t="s">
        <v>138</v>
      </c>
      <c r="C40" s="235">
        <f>+C35+C36</f>
        <v>54.2</v>
      </c>
      <c r="D40" s="246">
        <f aca="true" t="shared" si="8" ref="D40:J40">+D35+D36</f>
        <v>-91.1</v>
      </c>
      <c r="E40" s="246">
        <f t="shared" si="8"/>
        <v>23.8</v>
      </c>
      <c r="F40" s="246">
        <f t="shared" si="8"/>
        <v>-23.4</v>
      </c>
      <c r="G40" s="246">
        <f t="shared" si="8"/>
        <v>-108.9</v>
      </c>
      <c r="H40" s="246">
        <f t="shared" si="8"/>
        <v>-199.6</v>
      </c>
      <c r="I40" s="246">
        <f t="shared" si="8"/>
        <v>20.7</v>
      </c>
      <c r="J40" s="246">
        <f t="shared" si="8"/>
        <v>46.2</v>
      </c>
      <c r="K40" s="246">
        <f aca="true" t="shared" si="9" ref="K40:P40">+K35+K36</f>
        <v>31.7</v>
      </c>
      <c r="L40" s="246">
        <f t="shared" si="9"/>
        <v>10</v>
      </c>
      <c r="M40" s="246">
        <f t="shared" si="9"/>
        <v>108.6</v>
      </c>
      <c r="N40" s="246">
        <f t="shared" si="9"/>
        <v>22</v>
      </c>
      <c r="O40" s="246">
        <f t="shared" si="9"/>
        <v>-19.5</v>
      </c>
      <c r="P40" s="246">
        <f t="shared" si="9"/>
        <v>7.8</v>
      </c>
      <c r="Q40" s="235">
        <f aca="true" t="shared" si="10" ref="Q40:W40">+Q35+Q36</f>
        <v>-5.1</v>
      </c>
      <c r="R40" s="235">
        <f t="shared" si="10"/>
        <v>5.2</v>
      </c>
      <c r="S40" s="235">
        <f t="shared" si="10"/>
        <v>21.6</v>
      </c>
      <c r="T40" s="235">
        <f t="shared" si="10"/>
        <v>-42.6</v>
      </c>
      <c r="U40" s="235">
        <f t="shared" si="10"/>
        <v>-24.9</v>
      </c>
      <c r="V40" s="235">
        <f t="shared" si="10"/>
        <v>29.4</v>
      </c>
      <c r="W40" s="235">
        <f t="shared" si="10"/>
        <v>-16.5</v>
      </c>
    </row>
    <row r="41" spans="1:23" ht="17.25" customHeight="1">
      <c r="A41" s="7"/>
      <c r="B41" s="32" t="s">
        <v>139</v>
      </c>
      <c r="C41" s="243">
        <v>0.9</v>
      </c>
      <c r="D41" s="257">
        <v>-4.7</v>
      </c>
      <c r="E41" s="257">
        <v>3.4</v>
      </c>
      <c r="F41" s="257">
        <v>0.9</v>
      </c>
      <c r="G41" s="257">
        <v>-6.5</v>
      </c>
      <c r="H41" s="263">
        <f>SUM(D41:G41)</f>
        <v>-6.9</v>
      </c>
      <c r="I41" s="257">
        <v>-0.9</v>
      </c>
      <c r="J41" s="257">
        <v>7.3</v>
      </c>
      <c r="K41" s="257">
        <v>7.9</v>
      </c>
      <c r="L41" s="257">
        <v>3.1</v>
      </c>
      <c r="M41" s="263">
        <f>SUM(I41:L41)</f>
        <v>17.4</v>
      </c>
      <c r="N41" s="257">
        <v>8.8</v>
      </c>
      <c r="O41" s="257">
        <v>-0.6</v>
      </c>
      <c r="P41" s="257">
        <v>1.7</v>
      </c>
      <c r="Q41" s="243">
        <v>2.9</v>
      </c>
      <c r="R41" s="315">
        <f>SUM(N41:Q41)</f>
        <v>12.8</v>
      </c>
      <c r="S41" s="243">
        <v>3.4</v>
      </c>
      <c r="T41" s="243">
        <v>3.8</v>
      </c>
      <c r="U41" s="243">
        <v>-2.8</v>
      </c>
      <c r="V41" s="243">
        <v>7.1</v>
      </c>
      <c r="W41" s="315">
        <f>SUM(S41:V41)</f>
        <v>11.5</v>
      </c>
    </row>
    <row r="42" spans="1:23" ht="24" customHeight="1" thickBot="1">
      <c r="A42" s="7"/>
      <c r="B42" s="145" t="s">
        <v>151</v>
      </c>
      <c r="C42" s="273">
        <f>+C40+C41</f>
        <v>55.1</v>
      </c>
      <c r="D42" s="258">
        <f aca="true" t="shared" si="11" ref="D42:J42">+D40+D41</f>
        <v>-95.8</v>
      </c>
      <c r="E42" s="258">
        <f t="shared" si="11"/>
        <v>27.2</v>
      </c>
      <c r="F42" s="258">
        <f t="shared" si="11"/>
        <v>-22.5</v>
      </c>
      <c r="G42" s="258">
        <f t="shared" si="11"/>
        <v>-115.4</v>
      </c>
      <c r="H42" s="258">
        <f t="shared" si="11"/>
        <v>-206.5</v>
      </c>
      <c r="I42" s="258">
        <f t="shared" si="11"/>
        <v>19.8</v>
      </c>
      <c r="J42" s="258">
        <f t="shared" si="11"/>
        <v>53.5</v>
      </c>
      <c r="K42" s="258">
        <f aca="true" t="shared" si="12" ref="K42:P42">+K40+K41</f>
        <v>39.6</v>
      </c>
      <c r="L42" s="258">
        <f t="shared" si="12"/>
        <v>13.1</v>
      </c>
      <c r="M42" s="258">
        <f t="shared" si="12"/>
        <v>126</v>
      </c>
      <c r="N42" s="258">
        <f t="shared" si="12"/>
        <v>30.8</v>
      </c>
      <c r="O42" s="258">
        <f t="shared" si="12"/>
        <v>-20.1</v>
      </c>
      <c r="P42" s="258">
        <f t="shared" si="12"/>
        <v>9.5</v>
      </c>
      <c r="Q42" s="273">
        <f aca="true" t="shared" si="13" ref="Q42:W42">+Q40+Q41</f>
        <v>-2.2</v>
      </c>
      <c r="R42" s="273">
        <f t="shared" si="13"/>
        <v>18</v>
      </c>
      <c r="S42" s="273">
        <f t="shared" si="13"/>
        <v>25</v>
      </c>
      <c r="T42" s="273">
        <f t="shared" si="13"/>
        <v>-38.8</v>
      </c>
      <c r="U42" s="273">
        <f t="shared" si="13"/>
        <v>-27.7</v>
      </c>
      <c r="V42" s="273">
        <f t="shared" si="13"/>
        <v>36.5</v>
      </c>
      <c r="W42" s="273">
        <f t="shared" si="13"/>
        <v>-5</v>
      </c>
    </row>
    <row r="43" spans="1:23" ht="17.25" customHeight="1">
      <c r="A43" s="7"/>
      <c r="B43" s="11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3" ht="17.25" customHeight="1">
      <c r="A44" s="7"/>
      <c r="B44" s="13" t="s">
        <v>94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 ht="17.25" customHeight="1">
      <c r="A45" s="7"/>
      <c r="B45" s="111" t="s">
        <v>66</v>
      </c>
      <c r="C45" s="274">
        <v>5.7</v>
      </c>
      <c r="D45" s="266">
        <v>6.9</v>
      </c>
      <c r="E45" s="266">
        <v>7.7</v>
      </c>
      <c r="F45" s="266">
        <v>6.3</v>
      </c>
      <c r="G45" s="266">
        <v>0.8</v>
      </c>
      <c r="H45" s="267">
        <v>5.1</v>
      </c>
      <c r="I45" s="266">
        <v>5.8</v>
      </c>
      <c r="J45" s="266">
        <v>5.3</v>
      </c>
      <c r="K45" s="266">
        <v>6.1</v>
      </c>
      <c r="L45" s="266">
        <v>2.8</v>
      </c>
      <c r="M45" s="267">
        <v>5.3</v>
      </c>
      <c r="N45" s="266">
        <v>8.1</v>
      </c>
      <c r="O45" s="266">
        <v>5.8</v>
      </c>
      <c r="P45" s="266">
        <v>5.4</v>
      </c>
      <c r="Q45" s="274">
        <v>4.1</v>
      </c>
      <c r="R45" s="316">
        <v>6</v>
      </c>
      <c r="S45" s="274">
        <v>7.7</v>
      </c>
      <c r="T45" s="274">
        <v>4.8</v>
      </c>
      <c r="U45" s="274">
        <v>3.2</v>
      </c>
      <c r="V45" s="274">
        <v>3.4</v>
      </c>
      <c r="W45" s="316">
        <v>4.8</v>
      </c>
    </row>
    <row r="46" spans="1:23" ht="17.25" customHeight="1">
      <c r="A46" s="7"/>
      <c r="B46" s="183" t="s">
        <v>134</v>
      </c>
      <c r="C46" s="237">
        <v>6.3</v>
      </c>
      <c r="D46" s="254">
        <v>6.7</v>
      </c>
      <c r="E46" s="254">
        <v>8</v>
      </c>
      <c r="F46" s="254">
        <v>5.8</v>
      </c>
      <c r="G46" s="254">
        <v>0.5</v>
      </c>
      <c r="H46" s="276">
        <v>4.9</v>
      </c>
      <c r="I46" s="254">
        <v>5.5</v>
      </c>
      <c r="J46" s="254">
        <v>5.1</v>
      </c>
      <c r="K46" s="254">
        <v>5.9</v>
      </c>
      <c r="L46" s="254">
        <v>2.7</v>
      </c>
      <c r="M46" s="276">
        <v>5.1</v>
      </c>
      <c r="N46" s="254">
        <v>6.4</v>
      </c>
      <c r="O46" s="254">
        <v>5.8</v>
      </c>
      <c r="P46" s="254">
        <v>6.2</v>
      </c>
      <c r="Q46" s="237">
        <v>4</v>
      </c>
      <c r="R46" s="270">
        <v>5.6</v>
      </c>
      <c r="S46" s="237">
        <v>7.8</v>
      </c>
      <c r="T46" s="237">
        <v>5.5</v>
      </c>
      <c r="U46" s="237">
        <v>3.4</v>
      </c>
      <c r="V46" s="237">
        <v>2.1</v>
      </c>
      <c r="W46" s="270">
        <v>4.7</v>
      </c>
    </row>
    <row r="47" spans="1:23" ht="17.25" customHeight="1">
      <c r="A47" s="7"/>
      <c r="B47" s="184" t="s">
        <v>135</v>
      </c>
      <c r="C47" s="241">
        <v>0.8</v>
      </c>
      <c r="D47" s="264">
        <v>8.3</v>
      </c>
      <c r="E47" s="264">
        <v>5.8</v>
      </c>
      <c r="F47" s="264">
        <v>10.4</v>
      </c>
      <c r="G47" s="264">
        <v>3.5</v>
      </c>
      <c r="H47" s="277">
        <v>6.9</v>
      </c>
      <c r="I47" s="264">
        <v>7.6</v>
      </c>
      <c r="J47" s="264">
        <v>6.8</v>
      </c>
      <c r="K47" s="264">
        <v>7.5</v>
      </c>
      <c r="L47" s="264">
        <v>3.7</v>
      </c>
      <c r="M47" s="277">
        <v>6.7</v>
      </c>
      <c r="N47" s="264">
        <v>20.3</v>
      </c>
      <c r="O47" s="264">
        <v>6.3</v>
      </c>
      <c r="P47" s="264">
        <v>0.7</v>
      </c>
      <c r="Q47" s="241">
        <v>4.9</v>
      </c>
      <c r="R47" s="317">
        <v>8.3</v>
      </c>
      <c r="S47" s="241">
        <v>7.4</v>
      </c>
      <c r="T47" s="414">
        <v>0</v>
      </c>
      <c r="U47" s="414">
        <v>2.4</v>
      </c>
      <c r="V47" s="414">
        <v>11.1</v>
      </c>
      <c r="W47" s="317">
        <v>5.4</v>
      </c>
    </row>
    <row r="48" spans="1:23" ht="17.25" customHeight="1">
      <c r="A48" s="7"/>
      <c r="B48" s="31" t="s">
        <v>126</v>
      </c>
      <c r="C48" s="275">
        <v>0.2</v>
      </c>
      <c r="D48" s="256">
        <v>-45.4</v>
      </c>
      <c r="E48" s="256">
        <v>4.4</v>
      </c>
      <c r="F48" s="256">
        <v>-16</v>
      </c>
      <c r="G48" s="256">
        <v>-51.9</v>
      </c>
      <c r="H48" s="256">
        <v>-25.9</v>
      </c>
      <c r="I48" s="256">
        <v>4.3</v>
      </c>
      <c r="J48" s="256">
        <v>21.2</v>
      </c>
      <c r="K48" s="256">
        <v>12.3</v>
      </c>
      <c r="L48" s="256">
        <v>3</v>
      </c>
      <c r="M48" s="256">
        <v>10.7</v>
      </c>
      <c r="N48" s="256">
        <v>5.3</v>
      </c>
      <c r="O48" s="256">
        <v>-14.3</v>
      </c>
      <c r="P48" s="256">
        <v>-1.3</v>
      </c>
      <c r="Q48" s="275">
        <v>-5</v>
      </c>
      <c r="R48" s="275">
        <v>-4</v>
      </c>
      <c r="S48" s="275">
        <v>3</v>
      </c>
      <c r="T48" s="275">
        <v>-21</v>
      </c>
      <c r="U48" s="275">
        <v>-15.3</v>
      </c>
      <c r="V48" s="275">
        <v>13</v>
      </c>
      <c r="W48" s="275">
        <v>-5.3</v>
      </c>
    </row>
    <row r="49" spans="1:23" ht="27.75" customHeight="1" thickBot="1">
      <c r="A49" s="7"/>
      <c r="B49" s="145" t="s">
        <v>151</v>
      </c>
      <c r="C49" s="273">
        <f>+C45+C48</f>
        <v>5.9</v>
      </c>
      <c r="D49" s="258">
        <f aca="true" t="shared" si="14" ref="D49:I49">+D45+D48</f>
        <v>-38.5</v>
      </c>
      <c r="E49" s="258">
        <f t="shared" si="14"/>
        <v>12.1</v>
      </c>
      <c r="F49" s="258">
        <f t="shared" si="14"/>
        <v>-9.7</v>
      </c>
      <c r="G49" s="258">
        <f t="shared" si="14"/>
        <v>-51.1</v>
      </c>
      <c r="H49" s="258">
        <f t="shared" si="14"/>
        <v>-20.8</v>
      </c>
      <c r="I49" s="258">
        <f t="shared" si="14"/>
        <v>10.1</v>
      </c>
      <c r="J49" s="258">
        <f aca="true" t="shared" si="15" ref="J49:P49">+J45+J48</f>
        <v>26.5</v>
      </c>
      <c r="K49" s="258">
        <f t="shared" si="15"/>
        <v>18.4</v>
      </c>
      <c r="L49" s="258">
        <f t="shared" si="15"/>
        <v>5.8</v>
      </c>
      <c r="M49" s="258">
        <f t="shared" si="15"/>
        <v>16</v>
      </c>
      <c r="N49" s="258">
        <f t="shared" si="15"/>
        <v>13.4</v>
      </c>
      <c r="O49" s="258">
        <f t="shared" si="15"/>
        <v>-8.5</v>
      </c>
      <c r="P49" s="258">
        <f t="shared" si="15"/>
        <v>4.1</v>
      </c>
      <c r="Q49" s="273">
        <f aca="true" t="shared" si="16" ref="Q49:W49">+Q45+Q48</f>
        <v>-0.9</v>
      </c>
      <c r="R49" s="273">
        <f t="shared" si="16"/>
        <v>2</v>
      </c>
      <c r="S49" s="273">
        <f t="shared" si="16"/>
        <v>10.7</v>
      </c>
      <c r="T49" s="273">
        <f t="shared" si="16"/>
        <v>-16.2</v>
      </c>
      <c r="U49" s="273">
        <f t="shared" si="16"/>
        <v>-12.1</v>
      </c>
      <c r="V49" s="273">
        <f t="shared" si="16"/>
        <v>16.4</v>
      </c>
      <c r="W49" s="273">
        <f t="shared" si="16"/>
        <v>-0.5</v>
      </c>
    </row>
    <row r="50" spans="1:23" ht="17.25" customHeight="1">
      <c r="A50" s="7"/>
      <c r="B50" s="11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3" ht="17.25" customHeight="1">
      <c r="A51" s="7"/>
      <c r="B51" s="13" t="s">
        <v>69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ht="17.25" customHeight="1">
      <c r="A52" s="7"/>
      <c r="B52" s="111" t="s">
        <v>66</v>
      </c>
      <c r="C52" s="274">
        <v>5.7</v>
      </c>
      <c r="D52" s="266">
        <v>5.4</v>
      </c>
      <c r="E52" s="266">
        <v>6</v>
      </c>
      <c r="F52" s="266">
        <v>6.4</v>
      </c>
      <c r="G52" s="266">
        <v>5.1</v>
      </c>
      <c r="H52" s="267">
        <f>+G52</f>
        <v>5.1</v>
      </c>
      <c r="I52" s="266">
        <v>5</v>
      </c>
      <c r="J52" s="266">
        <v>4.2</v>
      </c>
      <c r="K52" s="266">
        <v>4.1</v>
      </c>
      <c r="L52" s="266">
        <v>5.3</v>
      </c>
      <c r="M52" s="267">
        <v>5.3</v>
      </c>
      <c r="N52" s="266">
        <v>6</v>
      </c>
      <c r="O52" s="266">
        <v>6</v>
      </c>
      <c r="P52" s="266">
        <v>5.7</v>
      </c>
      <c r="Q52" s="274">
        <v>6</v>
      </c>
      <c r="R52" s="316">
        <f>Q52</f>
        <v>6</v>
      </c>
      <c r="S52" s="274">
        <v>5.7</v>
      </c>
      <c r="T52" s="274">
        <v>5.6</v>
      </c>
      <c r="U52" s="274">
        <v>5</v>
      </c>
      <c r="V52" s="274">
        <v>4.8</v>
      </c>
      <c r="W52" s="316">
        <f>V52</f>
        <v>4.8</v>
      </c>
    </row>
    <row r="53" spans="1:23" ht="17.25" customHeight="1">
      <c r="A53" s="7"/>
      <c r="B53" s="183" t="s">
        <v>134</v>
      </c>
      <c r="C53" s="237">
        <v>6.3</v>
      </c>
      <c r="D53" s="254">
        <v>5.9</v>
      </c>
      <c r="E53" s="254">
        <v>5.8</v>
      </c>
      <c r="F53" s="254">
        <v>6.2</v>
      </c>
      <c r="G53" s="254">
        <v>4.9</v>
      </c>
      <c r="H53" s="259">
        <f>+G53</f>
        <v>4.9</v>
      </c>
      <c r="I53" s="254">
        <v>4.8</v>
      </c>
      <c r="J53" s="254">
        <v>3.8</v>
      </c>
      <c r="K53" s="254">
        <v>3.8</v>
      </c>
      <c r="L53" s="254">
        <v>5.1</v>
      </c>
      <c r="M53" s="259">
        <v>5.1</v>
      </c>
      <c r="N53" s="254">
        <v>5.4</v>
      </c>
      <c r="O53" s="254">
        <v>5.4</v>
      </c>
      <c r="P53" s="254">
        <v>5.4</v>
      </c>
      <c r="Q53" s="237">
        <v>5.6</v>
      </c>
      <c r="R53" s="238">
        <f>Q53</f>
        <v>5.6</v>
      </c>
      <c r="S53" s="237">
        <v>5.8</v>
      </c>
      <c r="T53" s="237">
        <v>5.9</v>
      </c>
      <c r="U53" s="237">
        <v>5.2</v>
      </c>
      <c r="V53" s="237">
        <v>4.7</v>
      </c>
      <c r="W53" s="238">
        <f>V53</f>
        <v>4.7</v>
      </c>
    </row>
    <row r="54" spans="1:23" ht="17.25" customHeight="1">
      <c r="A54" s="7"/>
      <c r="B54" s="184" t="s">
        <v>135</v>
      </c>
      <c r="C54" s="241">
        <v>0.8</v>
      </c>
      <c r="D54" s="264">
        <v>1.1</v>
      </c>
      <c r="E54" s="264">
        <v>7.4</v>
      </c>
      <c r="F54" s="264">
        <v>8</v>
      </c>
      <c r="G54" s="264">
        <v>6.9</v>
      </c>
      <c r="H54" s="265">
        <f>+G54</f>
        <v>6.9</v>
      </c>
      <c r="I54" s="264">
        <v>6.9</v>
      </c>
      <c r="J54" s="264">
        <v>6.9</v>
      </c>
      <c r="K54" s="264">
        <v>6.1</v>
      </c>
      <c r="L54" s="264">
        <v>6.7</v>
      </c>
      <c r="M54" s="265">
        <v>6.7</v>
      </c>
      <c r="N54" s="264">
        <v>10.9</v>
      </c>
      <c r="O54" s="264">
        <v>10.4</v>
      </c>
      <c r="P54" s="264">
        <v>8.1</v>
      </c>
      <c r="Q54" s="241">
        <v>8.3</v>
      </c>
      <c r="R54" s="242">
        <f>Q54</f>
        <v>8.3</v>
      </c>
      <c r="S54" s="241">
        <v>4.9</v>
      </c>
      <c r="T54" s="241">
        <v>3.3</v>
      </c>
      <c r="U54" s="241">
        <v>3.8</v>
      </c>
      <c r="V54" s="241">
        <v>5.4</v>
      </c>
      <c r="W54" s="242">
        <f>V54</f>
        <v>5.4</v>
      </c>
    </row>
    <row r="55" spans="1:23" ht="17.25" customHeight="1">
      <c r="A55" s="7"/>
      <c r="B55" s="31" t="s">
        <v>126</v>
      </c>
      <c r="C55" s="275">
        <v>0.2</v>
      </c>
      <c r="D55" s="256">
        <v>-13</v>
      </c>
      <c r="E55" s="256">
        <v>-14.8</v>
      </c>
      <c r="F55" s="256">
        <v>-15.2</v>
      </c>
      <c r="G55" s="256">
        <v>-25.9</v>
      </c>
      <c r="H55" s="256">
        <v>-25.9</v>
      </c>
      <c r="I55" s="256">
        <v>-15.1</v>
      </c>
      <c r="J55" s="256">
        <v>-11.2</v>
      </c>
      <c r="K55" s="256">
        <v>-4.4</v>
      </c>
      <c r="L55" s="256">
        <v>10.7</v>
      </c>
      <c r="M55" s="256">
        <v>10.7</v>
      </c>
      <c r="N55" s="256">
        <v>10.9</v>
      </c>
      <c r="O55" s="256">
        <v>1.3</v>
      </c>
      <c r="P55" s="256">
        <v>-2</v>
      </c>
      <c r="Q55" s="275">
        <v>-4</v>
      </c>
      <c r="R55" s="275">
        <f>Q55</f>
        <v>-4</v>
      </c>
      <c r="S55" s="275">
        <v>-4.4</v>
      </c>
      <c r="T55" s="275">
        <v>-6.3</v>
      </c>
      <c r="U55" s="275">
        <v>-9.7</v>
      </c>
      <c r="V55" s="275">
        <v>-5.3</v>
      </c>
      <c r="W55" s="275">
        <f>V55</f>
        <v>-5.3</v>
      </c>
    </row>
    <row r="56" spans="1:23" ht="33.75" customHeight="1" thickBot="1">
      <c r="A56" s="7"/>
      <c r="B56" s="145" t="s">
        <v>72</v>
      </c>
      <c r="C56" s="273">
        <f>+C52+C55</f>
        <v>5.9</v>
      </c>
      <c r="D56" s="258">
        <f aca="true" t="shared" si="17" ref="D56:J56">+D52+D55</f>
        <v>-7.6</v>
      </c>
      <c r="E56" s="258">
        <f t="shared" si="17"/>
        <v>-8.8</v>
      </c>
      <c r="F56" s="258">
        <f t="shared" si="17"/>
        <v>-8.8</v>
      </c>
      <c r="G56" s="258">
        <f t="shared" si="17"/>
        <v>-20.8</v>
      </c>
      <c r="H56" s="258">
        <f t="shared" si="17"/>
        <v>-20.8</v>
      </c>
      <c r="I56" s="258">
        <f t="shared" si="17"/>
        <v>-10.1</v>
      </c>
      <c r="J56" s="258">
        <f t="shared" si="17"/>
        <v>-7</v>
      </c>
      <c r="K56" s="258">
        <f aca="true" t="shared" si="18" ref="K56:P56">+K52+K55</f>
        <v>-0.3</v>
      </c>
      <c r="L56" s="258">
        <f t="shared" si="18"/>
        <v>16</v>
      </c>
      <c r="M56" s="258">
        <f t="shared" si="18"/>
        <v>16</v>
      </c>
      <c r="N56" s="258">
        <f t="shared" si="18"/>
        <v>16.9</v>
      </c>
      <c r="O56" s="258">
        <f t="shared" si="18"/>
        <v>7.3</v>
      </c>
      <c r="P56" s="258">
        <f t="shared" si="18"/>
        <v>3.7</v>
      </c>
      <c r="Q56" s="258">
        <f aca="true" t="shared" si="19" ref="Q56:W56">+Q52+Q55</f>
        <v>2</v>
      </c>
      <c r="R56" s="258">
        <f t="shared" si="19"/>
        <v>2</v>
      </c>
      <c r="S56" s="258">
        <f t="shared" si="19"/>
        <v>1.3</v>
      </c>
      <c r="T56" s="258">
        <f t="shared" si="19"/>
        <v>-0.7</v>
      </c>
      <c r="U56" s="258">
        <f t="shared" si="19"/>
        <v>-4.7</v>
      </c>
      <c r="V56" s="258">
        <f t="shared" si="19"/>
        <v>-0.5</v>
      </c>
      <c r="W56" s="258">
        <f t="shared" si="19"/>
        <v>-0.5</v>
      </c>
    </row>
    <row r="57" spans="1:23" ht="22.5" customHeight="1">
      <c r="A57" s="7"/>
      <c r="B57" s="180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</row>
    <row r="58" spans="1:23" ht="17.25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68" ht="11.25" customHeight="1"/>
    <row r="76" ht="13.5" customHeight="1"/>
    <row r="92" ht="11.25" customHeight="1"/>
  </sheetData>
  <sheetProtection/>
  <mergeCells count="1">
    <mergeCell ref="B1:B2"/>
  </mergeCells>
  <conditionalFormatting sqref="C13:W13 C23:W23 C16:W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5" r:id="rId1"/>
  <headerFooter alignWithMargins="0">
    <oddFooter>&amp;C&amp;A</oddFooter>
  </headerFooter>
  <rowBreaks count="1" manualBreakCount="1">
    <brk id="32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H3" sqref="H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9" width="11.57421875" style="1" customWidth="1"/>
    <col min="30" max="16384" width="1.7109375" style="1" customWidth="1"/>
  </cols>
  <sheetData>
    <row r="1" spans="1:23" ht="21.75" customHeight="1">
      <c r="A1" s="2"/>
      <c r="B1" s="423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.75" customHeight="1">
      <c r="A2" s="4"/>
      <c r="B2" s="422"/>
      <c r="C2" s="6">
        <v>2007</v>
      </c>
      <c r="D2" s="5" t="s">
        <v>74</v>
      </c>
      <c r="E2" s="5" t="s">
        <v>95</v>
      </c>
      <c r="F2" s="5" t="s">
        <v>96</v>
      </c>
      <c r="G2" s="5" t="s">
        <v>97</v>
      </c>
      <c r="H2" s="6">
        <v>2008</v>
      </c>
      <c r="I2" s="5" t="s">
        <v>112</v>
      </c>
      <c r="J2" s="5" t="s">
        <v>124</v>
      </c>
      <c r="K2" s="5" t="s">
        <v>152</v>
      </c>
      <c r="L2" s="5" t="s">
        <v>166</v>
      </c>
      <c r="M2" s="6">
        <v>2009</v>
      </c>
      <c r="N2" s="5" t="s">
        <v>168</v>
      </c>
      <c r="O2" s="5" t="s">
        <v>177</v>
      </c>
      <c r="P2" s="5" t="s">
        <v>181</v>
      </c>
      <c r="Q2" s="5" t="s">
        <v>182</v>
      </c>
      <c r="R2" s="6">
        <v>2010</v>
      </c>
      <c r="S2" s="5" t="s">
        <v>184</v>
      </c>
      <c r="T2" s="5" t="s">
        <v>220</v>
      </c>
      <c r="U2" s="5" t="s">
        <v>225</v>
      </c>
      <c r="V2" s="5" t="s">
        <v>226</v>
      </c>
      <c r="W2" s="6">
        <v>2011</v>
      </c>
    </row>
    <row r="3" spans="1:23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6.5" thickBot="1">
      <c r="A4" s="7"/>
      <c r="B4" s="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7.25" customHeight="1" thickTop="1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7.25" customHeight="1">
      <c r="A6" s="7"/>
      <c r="B6" s="13" t="s">
        <v>113</v>
      </c>
      <c r="C6" s="16"/>
      <c r="D6" s="16"/>
      <c r="E6" s="16"/>
      <c r="F6" s="16"/>
      <c r="G6" s="16"/>
      <c r="H6" s="63"/>
      <c r="I6" s="16"/>
      <c r="J6" s="16"/>
      <c r="K6" s="16"/>
      <c r="L6" s="16"/>
      <c r="M6" s="63"/>
      <c r="N6" s="16"/>
      <c r="O6" s="16"/>
      <c r="P6" s="16"/>
      <c r="Q6" s="16"/>
      <c r="R6" s="63"/>
      <c r="S6" s="16"/>
      <c r="T6" s="16"/>
      <c r="U6" s="16"/>
      <c r="V6" s="16"/>
      <c r="W6" s="63"/>
    </row>
    <row r="7" spans="1:23" s="20" customFormat="1" ht="17.25" customHeight="1" thickBot="1">
      <c r="A7" s="7"/>
      <c r="B7" s="30" t="s">
        <v>14</v>
      </c>
      <c r="C7" s="220">
        <v>11640</v>
      </c>
      <c r="D7" s="220">
        <v>2792</v>
      </c>
      <c r="E7" s="220">
        <v>2767</v>
      </c>
      <c r="F7" s="220">
        <v>2619</v>
      </c>
      <c r="G7" s="220">
        <v>2519</v>
      </c>
      <c r="H7" s="190">
        <f>SUM(D7:G7)</f>
        <v>10697</v>
      </c>
      <c r="I7" s="220">
        <v>2369</v>
      </c>
      <c r="J7" s="220">
        <v>2501</v>
      </c>
      <c r="K7" s="220">
        <v>2429</v>
      </c>
      <c r="L7" s="220">
        <v>2572</v>
      </c>
      <c r="M7" s="190">
        <f>SUM(I7:L7)</f>
        <v>9871</v>
      </c>
      <c r="N7" s="220">
        <v>2464</v>
      </c>
      <c r="O7" s="220">
        <v>2516</v>
      </c>
      <c r="P7" s="220">
        <v>2385</v>
      </c>
      <c r="Q7" s="220">
        <v>2464</v>
      </c>
      <c r="R7" s="190">
        <f>SUM(N7:Q7)</f>
        <v>9829</v>
      </c>
      <c r="S7" s="220">
        <v>2433</v>
      </c>
      <c r="T7" s="220">
        <v>2330</v>
      </c>
      <c r="U7" s="220">
        <v>2148</v>
      </c>
      <c r="V7" s="220">
        <v>2119</v>
      </c>
      <c r="W7" s="190">
        <f>SUM(S7:V7)</f>
        <v>9030</v>
      </c>
    </row>
    <row r="8" spans="1:23" s="20" customFormat="1" ht="17.25" customHeight="1" thickBot="1">
      <c r="A8" s="7"/>
      <c r="B8" s="30" t="s">
        <v>15</v>
      </c>
      <c r="C8" s="220">
        <v>20</v>
      </c>
      <c r="D8" s="220">
        <v>6</v>
      </c>
      <c r="E8" s="220">
        <v>12</v>
      </c>
      <c r="F8" s="220">
        <v>8</v>
      </c>
      <c r="G8" s="220">
        <v>115</v>
      </c>
      <c r="H8" s="190">
        <f>SUM(D8:G8)</f>
        <v>141</v>
      </c>
      <c r="I8" s="220">
        <v>16</v>
      </c>
      <c r="J8" s="220">
        <v>13</v>
      </c>
      <c r="K8" s="220">
        <v>-5</v>
      </c>
      <c r="L8" s="220">
        <v>9</v>
      </c>
      <c r="M8" s="190">
        <f>SUM(I8:L8)</f>
        <v>33</v>
      </c>
      <c r="N8" s="220">
        <v>32</v>
      </c>
      <c r="O8" s="220">
        <v>16</v>
      </c>
      <c r="P8" s="220">
        <v>8</v>
      </c>
      <c r="Q8" s="220">
        <v>14</v>
      </c>
      <c r="R8" s="190">
        <f>SUM(N8:Q8)</f>
        <v>70</v>
      </c>
      <c r="S8" s="220">
        <v>12</v>
      </c>
      <c r="T8" s="220">
        <v>8</v>
      </c>
      <c r="U8" s="220">
        <v>20</v>
      </c>
      <c r="V8" s="220">
        <v>43</v>
      </c>
      <c r="W8" s="190">
        <f>SUM(S8:V8)</f>
        <v>83</v>
      </c>
    </row>
    <row r="9" spans="1:23" s="20" customFormat="1" ht="17.25" customHeight="1" thickBot="1">
      <c r="A9" s="7"/>
      <c r="B9" s="30" t="s">
        <v>20</v>
      </c>
      <c r="C9" s="221">
        <v>7219</v>
      </c>
      <c r="D9" s="221">
        <v>1817</v>
      </c>
      <c r="E9" s="221">
        <v>1821</v>
      </c>
      <c r="F9" s="221">
        <v>2122</v>
      </c>
      <c r="G9" s="221">
        <v>2287</v>
      </c>
      <c r="H9" s="190">
        <f>SUM(D9:G9)</f>
        <v>8047</v>
      </c>
      <c r="I9" s="221">
        <v>1629</v>
      </c>
      <c r="J9" s="221">
        <v>1729</v>
      </c>
      <c r="K9" s="221">
        <v>1711</v>
      </c>
      <c r="L9" s="221">
        <v>1871</v>
      </c>
      <c r="M9" s="190">
        <f>SUM(I9:L9)</f>
        <v>6940</v>
      </c>
      <c r="N9" s="221">
        <v>1755</v>
      </c>
      <c r="O9" s="221">
        <v>1867</v>
      </c>
      <c r="P9" s="221">
        <v>1765</v>
      </c>
      <c r="Q9" s="221">
        <v>1844</v>
      </c>
      <c r="R9" s="190">
        <f>SUM(N9:Q9)</f>
        <v>7231</v>
      </c>
      <c r="S9" s="221">
        <v>1798</v>
      </c>
      <c r="T9" s="221">
        <v>1727</v>
      </c>
      <c r="U9" s="221">
        <v>2162</v>
      </c>
      <c r="V9" s="221">
        <v>1792</v>
      </c>
      <c r="W9" s="190">
        <f>SUM(S9:V9)</f>
        <v>7479</v>
      </c>
    </row>
    <row r="10" spans="1:23" s="20" customFormat="1" ht="17.25" customHeight="1" thickBot="1">
      <c r="A10" s="7"/>
      <c r="B10" s="46" t="s">
        <v>108</v>
      </c>
      <c r="C10" s="223">
        <f aca="true" t="shared" si="0" ref="C10:J10">C7-C8-C9</f>
        <v>4401</v>
      </c>
      <c r="D10" s="223">
        <f t="shared" si="0"/>
        <v>969</v>
      </c>
      <c r="E10" s="223">
        <f t="shared" si="0"/>
        <v>934</v>
      </c>
      <c r="F10" s="223">
        <f t="shared" si="0"/>
        <v>489</v>
      </c>
      <c r="G10" s="223">
        <f t="shared" si="0"/>
        <v>117</v>
      </c>
      <c r="H10" s="223">
        <f t="shared" si="0"/>
        <v>2509</v>
      </c>
      <c r="I10" s="223">
        <f t="shared" si="0"/>
        <v>724</v>
      </c>
      <c r="J10" s="223">
        <f t="shared" si="0"/>
        <v>759</v>
      </c>
      <c r="K10" s="223">
        <f aca="true" t="shared" si="1" ref="K10:P10">K7-K8-K9</f>
        <v>723</v>
      </c>
      <c r="L10" s="223">
        <f t="shared" si="1"/>
        <v>692</v>
      </c>
      <c r="M10" s="223">
        <f t="shared" si="1"/>
        <v>2898</v>
      </c>
      <c r="N10" s="223">
        <f t="shared" si="1"/>
        <v>677</v>
      </c>
      <c r="O10" s="223">
        <f t="shared" si="1"/>
        <v>633</v>
      </c>
      <c r="P10" s="223">
        <f t="shared" si="1"/>
        <v>612</v>
      </c>
      <c r="Q10" s="223">
        <f aca="true" t="shared" si="2" ref="Q10:W10">Q7-Q8-Q9</f>
        <v>606</v>
      </c>
      <c r="R10" s="223">
        <f t="shared" si="2"/>
        <v>2528</v>
      </c>
      <c r="S10" s="223">
        <f t="shared" si="2"/>
        <v>623</v>
      </c>
      <c r="T10" s="223">
        <f t="shared" si="2"/>
        <v>595</v>
      </c>
      <c r="U10" s="223">
        <f t="shared" si="2"/>
        <v>-34</v>
      </c>
      <c r="V10" s="223">
        <f t="shared" si="2"/>
        <v>284</v>
      </c>
      <c r="W10" s="223">
        <f t="shared" si="2"/>
        <v>1468</v>
      </c>
    </row>
    <row r="11" spans="1:23" s="20" customFormat="1" ht="17.25" customHeight="1">
      <c r="A11" s="7"/>
      <c r="B11" s="18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17.25" customHeight="1">
      <c r="A12" s="7"/>
      <c r="B12" s="13" t="s">
        <v>114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7.25" customHeight="1">
      <c r="A13" s="7"/>
      <c r="B13" s="32" t="s">
        <v>42</v>
      </c>
      <c r="C13" s="235">
        <f aca="true" t="shared" si="3" ref="C13:J13">+C9/C7*100</f>
        <v>62</v>
      </c>
      <c r="D13" s="235">
        <f t="shared" si="3"/>
        <v>65.1</v>
      </c>
      <c r="E13" s="235">
        <f t="shared" si="3"/>
        <v>65.8</v>
      </c>
      <c r="F13" s="235">
        <f t="shared" si="3"/>
        <v>81</v>
      </c>
      <c r="G13" s="235">
        <f t="shared" si="3"/>
        <v>90.8</v>
      </c>
      <c r="H13" s="235">
        <f t="shared" si="3"/>
        <v>75.2</v>
      </c>
      <c r="I13" s="235">
        <f t="shared" si="3"/>
        <v>68.8</v>
      </c>
      <c r="J13" s="235">
        <f t="shared" si="3"/>
        <v>69.1</v>
      </c>
      <c r="K13" s="235">
        <f aca="true" t="shared" si="4" ref="K13:P13">+K9/K7*100</f>
        <v>70.4</v>
      </c>
      <c r="L13" s="235">
        <f t="shared" si="4"/>
        <v>72.7</v>
      </c>
      <c r="M13" s="235">
        <f t="shared" si="4"/>
        <v>70.3</v>
      </c>
      <c r="N13" s="235">
        <f t="shared" si="4"/>
        <v>71.2</v>
      </c>
      <c r="O13" s="235">
        <f t="shared" si="4"/>
        <v>74.2</v>
      </c>
      <c r="P13" s="235">
        <f t="shared" si="4"/>
        <v>74</v>
      </c>
      <c r="Q13" s="235">
        <f aca="true" t="shared" si="5" ref="Q13:W13">+Q9/Q7*100</f>
        <v>74.8</v>
      </c>
      <c r="R13" s="235">
        <f t="shared" si="5"/>
        <v>73.6</v>
      </c>
      <c r="S13" s="235">
        <f t="shared" si="5"/>
        <v>73.9</v>
      </c>
      <c r="T13" s="235">
        <f t="shared" si="5"/>
        <v>74.1</v>
      </c>
      <c r="U13" s="235">
        <f t="shared" si="5"/>
        <v>100.7</v>
      </c>
      <c r="V13" s="235">
        <f t="shared" si="5"/>
        <v>84.6</v>
      </c>
      <c r="W13" s="235">
        <f t="shared" si="5"/>
        <v>82.8</v>
      </c>
    </row>
    <row r="14" spans="1:23" ht="17.25" customHeight="1" thickBot="1">
      <c r="A14" s="7"/>
      <c r="B14" s="65" t="s">
        <v>43</v>
      </c>
      <c r="C14" s="236">
        <f aca="true" t="shared" si="6" ref="C14:J14">+C10/C7*100</f>
        <v>37.8</v>
      </c>
      <c r="D14" s="236">
        <f t="shared" si="6"/>
        <v>34.7</v>
      </c>
      <c r="E14" s="236">
        <f t="shared" si="6"/>
        <v>33.8</v>
      </c>
      <c r="F14" s="236">
        <f t="shared" si="6"/>
        <v>18.7</v>
      </c>
      <c r="G14" s="236">
        <f t="shared" si="6"/>
        <v>4.6</v>
      </c>
      <c r="H14" s="236">
        <f t="shared" si="6"/>
        <v>23.5</v>
      </c>
      <c r="I14" s="236">
        <f t="shared" si="6"/>
        <v>30.6</v>
      </c>
      <c r="J14" s="236">
        <f t="shared" si="6"/>
        <v>30.3</v>
      </c>
      <c r="K14" s="236">
        <f aca="true" t="shared" si="7" ref="K14:P14">+K10/K7*100</f>
        <v>29.8</v>
      </c>
      <c r="L14" s="236">
        <f t="shared" si="7"/>
        <v>26.9</v>
      </c>
      <c r="M14" s="236">
        <f t="shared" si="7"/>
        <v>29.4</v>
      </c>
      <c r="N14" s="236">
        <f t="shared" si="7"/>
        <v>27.5</v>
      </c>
      <c r="O14" s="236">
        <f t="shared" si="7"/>
        <v>25.2</v>
      </c>
      <c r="P14" s="236">
        <f t="shared" si="7"/>
        <v>25.7</v>
      </c>
      <c r="Q14" s="236">
        <f aca="true" t="shared" si="8" ref="Q14:W14">+Q10/Q7*100</f>
        <v>24.6</v>
      </c>
      <c r="R14" s="236">
        <f t="shared" si="8"/>
        <v>25.7</v>
      </c>
      <c r="S14" s="236">
        <f t="shared" si="8"/>
        <v>25.6</v>
      </c>
      <c r="T14" s="236">
        <f t="shared" si="8"/>
        <v>25.5</v>
      </c>
      <c r="U14" s="236">
        <f t="shared" si="8"/>
        <v>-1.6</v>
      </c>
      <c r="V14" s="236">
        <f t="shared" si="8"/>
        <v>13.4</v>
      </c>
      <c r="W14" s="236">
        <f t="shared" si="8"/>
        <v>16.3</v>
      </c>
    </row>
    <row r="15" spans="1:23" s="20" customFormat="1" ht="17.25" customHeight="1">
      <c r="A15" s="7"/>
      <c r="B15" s="18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7.25" customHeight="1">
      <c r="A16" s="7"/>
      <c r="B16" s="13" t="s">
        <v>31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20" customFormat="1" ht="17.25" customHeight="1">
      <c r="A17" s="7"/>
      <c r="B17" s="26" t="s">
        <v>10</v>
      </c>
      <c r="C17" s="224">
        <v>3593</v>
      </c>
      <c r="D17" s="224">
        <v>912</v>
      </c>
      <c r="E17" s="224">
        <v>925</v>
      </c>
      <c r="F17" s="224">
        <v>941</v>
      </c>
      <c r="G17" s="224">
        <v>976</v>
      </c>
      <c r="H17" s="199">
        <f>SUM(D17:G17)</f>
        <v>3754</v>
      </c>
      <c r="I17" s="224">
        <v>943</v>
      </c>
      <c r="J17" s="224">
        <v>936</v>
      </c>
      <c r="K17" s="224">
        <v>881</v>
      </c>
      <c r="L17" s="224">
        <v>946</v>
      </c>
      <c r="M17" s="199">
        <f>SUM(I17:L17)</f>
        <v>3706</v>
      </c>
      <c r="N17" s="224">
        <v>921</v>
      </c>
      <c r="O17" s="224">
        <v>974</v>
      </c>
      <c r="P17" s="224">
        <v>929</v>
      </c>
      <c r="Q17" s="224">
        <v>923</v>
      </c>
      <c r="R17" s="199">
        <f>SUM(N17:Q17)</f>
        <v>3747</v>
      </c>
      <c r="S17" s="224">
        <v>880</v>
      </c>
      <c r="T17" s="224">
        <v>855</v>
      </c>
      <c r="U17" s="224">
        <v>809</v>
      </c>
      <c r="V17" s="224">
        <v>863</v>
      </c>
      <c r="W17" s="199">
        <f>SUM(S17:V17)</f>
        <v>3407</v>
      </c>
    </row>
    <row r="18" spans="1:23" s="20" customFormat="1" ht="17.25" customHeight="1">
      <c r="A18" s="7"/>
      <c r="B18" s="17" t="s">
        <v>186</v>
      </c>
      <c r="C18" s="215">
        <f>8447-C17</f>
        <v>4854</v>
      </c>
      <c r="D18" s="215">
        <f>2110-D17</f>
        <v>1198</v>
      </c>
      <c r="E18" s="215">
        <f>2124-E17</f>
        <v>1199</v>
      </c>
      <c r="F18" s="215">
        <f>2069-F17</f>
        <v>1128</v>
      </c>
      <c r="G18" s="215">
        <f>1931-G17</f>
        <v>955</v>
      </c>
      <c r="H18" s="326">
        <f>SUM(D18:G18)</f>
        <v>4480</v>
      </c>
      <c r="I18" s="215">
        <f>1825-I17</f>
        <v>882</v>
      </c>
      <c r="J18" s="215">
        <f>1805-J17</f>
        <v>869</v>
      </c>
      <c r="K18" s="215">
        <f>1782-K17</f>
        <v>901</v>
      </c>
      <c r="L18" s="215">
        <f>1898-L17</f>
        <v>952</v>
      </c>
      <c r="M18" s="326">
        <f>SUM(I18:L18)</f>
        <v>3604</v>
      </c>
      <c r="N18" s="215">
        <f>1877-N17</f>
        <v>956</v>
      </c>
      <c r="O18" s="215">
        <f>1897-O17</f>
        <v>923</v>
      </c>
      <c r="P18" s="215">
        <f>1820-P17</f>
        <v>891</v>
      </c>
      <c r="Q18" s="215">
        <f>1832-Q17</f>
        <v>909</v>
      </c>
      <c r="R18" s="326">
        <f>SUM(N18:Q18)</f>
        <v>3679</v>
      </c>
      <c r="S18" s="215">
        <v>904</v>
      </c>
      <c r="T18" s="215">
        <v>899</v>
      </c>
      <c r="U18" s="215">
        <v>816</v>
      </c>
      <c r="V18" s="215">
        <v>821</v>
      </c>
      <c r="W18" s="326">
        <f>SUM(S18:V18)</f>
        <v>3440</v>
      </c>
    </row>
    <row r="19" spans="1:23" s="20" customFormat="1" ht="17.25" customHeight="1">
      <c r="A19" s="7"/>
      <c r="B19" s="31" t="s">
        <v>4</v>
      </c>
      <c r="C19" s="222">
        <v>3193</v>
      </c>
      <c r="D19" s="222">
        <v>682</v>
      </c>
      <c r="E19" s="222">
        <v>643</v>
      </c>
      <c r="F19" s="222">
        <v>550</v>
      </c>
      <c r="G19" s="222">
        <v>588</v>
      </c>
      <c r="H19" s="200">
        <f>SUM(D19:G19)</f>
        <v>2463</v>
      </c>
      <c r="I19" s="222">
        <v>544</v>
      </c>
      <c r="J19" s="222">
        <v>696</v>
      </c>
      <c r="K19" s="222">
        <v>647</v>
      </c>
      <c r="L19" s="222">
        <v>674</v>
      </c>
      <c r="M19" s="200">
        <f>SUM(I19:L19)</f>
        <v>2561</v>
      </c>
      <c r="N19" s="222">
        <v>587</v>
      </c>
      <c r="O19" s="222">
        <v>619</v>
      </c>
      <c r="P19" s="222">
        <v>565</v>
      </c>
      <c r="Q19" s="222">
        <v>632</v>
      </c>
      <c r="R19" s="200">
        <f>SUM(N19:Q19)</f>
        <v>2403</v>
      </c>
      <c r="S19" s="222">
        <v>649</v>
      </c>
      <c r="T19" s="222">
        <v>576</v>
      </c>
      <c r="U19" s="222">
        <v>523</v>
      </c>
      <c r="V19" s="222">
        <v>435</v>
      </c>
      <c r="W19" s="200">
        <f>SUM(S19:V19)</f>
        <v>2183</v>
      </c>
    </row>
    <row r="20" spans="1:23" s="20" customFormat="1" ht="17.25" customHeight="1" thickBot="1">
      <c r="A20" s="43"/>
      <c r="B20" s="38" t="s">
        <v>14</v>
      </c>
      <c r="C20" s="201">
        <f aca="true" t="shared" si="9" ref="C20:V20">IF((SUM(C17:C19))=C7,SUM(C17:C19),"Error")</f>
        <v>11640</v>
      </c>
      <c r="D20" s="201">
        <f t="shared" si="9"/>
        <v>2792</v>
      </c>
      <c r="E20" s="201">
        <f t="shared" si="9"/>
        <v>2767</v>
      </c>
      <c r="F20" s="201">
        <f t="shared" si="9"/>
        <v>2619</v>
      </c>
      <c r="G20" s="201">
        <f t="shared" si="9"/>
        <v>2519</v>
      </c>
      <c r="H20" s="201">
        <f t="shared" si="9"/>
        <v>10697</v>
      </c>
      <c r="I20" s="201">
        <f t="shared" si="9"/>
        <v>2369</v>
      </c>
      <c r="J20" s="201">
        <f t="shared" si="9"/>
        <v>2501</v>
      </c>
      <c r="K20" s="201">
        <f t="shared" si="9"/>
        <v>2429</v>
      </c>
      <c r="L20" s="201">
        <f t="shared" si="9"/>
        <v>2572</v>
      </c>
      <c r="M20" s="201">
        <f t="shared" si="9"/>
        <v>9871</v>
      </c>
      <c r="N20" s="201">
        <f t="shared" si="9"/>
        <v>2464</v>
      </c>
      <c r="O20" s="201">
        <f t="shared" si="9"/>
        <v>2516</v>
      </c>
      <c r="P20" s="201">
        <f t="shared" si="9"/>
        <v>2385</v>
      </c>
      <c r="Q20" s="201">
        <f t="shared" si="9"/>
        <v>2464</v>
      </c>
      <c r="R20" s="201">
        <f t="shared" si="9"/>
        <v>9829</v>
      </c>
      <c r="S20" s="201">
        <f t="shared" si="9"/>
        <v>2433</v>
      </c>
      <c r="T20" s="201">
        <f t="shared" si="9"/>
        <v>2330</v>
      </c>
      <c r="U20" s="201">
        <f t="shared" si="9"/>
        <v>2148</v>
      </c>
      <c r="V20" s="201">
        <f t="shared" si="9"/>
        <v>2119</v>
      </c>
      <c r="W20" s="201">
        <f>IF((SUM(W17:W19))=W7,SUM(W17:W19),"Error")</f>
        <v>9030</v>
      </c>
    </row>
    <row r="21" spans="1:23" s="20" customFormat="1" ht="17.25" customHeight="1">
      <c r="A21" s="7"/>
      <c r="B21" s="37"/>
      <c r="C21" s="19"/>
      <c r="D21" s="19"/>
      <c r="E21" s="19"/>
      <c r="F21" s="19"/>
      <c r="G21" s="19"/>
      <c r="H21" s="52"/>
      <c r="I21" s="19"/>
      <c r="J21" s="19"/>
      <c r="K21" s="19"/>
      <c r="L21" s="19"/>
      <c r="M21" s="52"/>
      <c r="N21" s="19"/>
      <c r="O21" s="19"/>
      <c r="P21" s="19"/>
      <c r="Q21" s="19"/>
      <c r="R21" s="52"/>
      <c r="S21" s="19"/>
      <c r="T21" s="19"/>
      <c r="U21" s="19"/>
      <c r="V21" s="19"/>
      <c r="W21" s="52"/>
    </row>
    <row r="22" spans="1:23" ht="17.25" customHeight="1">
      <c r="A22" s="7"/>
      <c r="B22" s="88" t="s">
        <v>175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20" customFormat="1" ht="17.25" customHeight="1" thickBot="1">
      <c r="A23" s="7"/>
      <c r="B23" s="311" t="s">
        <v>176</v>
      </c>
      <c r="C23" s="312">
        <v>888.1</v>
      </c>
      <c r="D23" s="312">
        <v>842.8</v>
      </c>
      <c r="E23" s="312">
        <v>840.5</v>
      </c>
      <c r="F23" s="312">
        <v>835</v>
      </c>
      <c r="G23" s="312">
        <v>748.8</v>
      </c>
      <c r="H23" s="312">
        <v>816.7</v>
      </c>
      <c r="I23" s="312">
        <v>708.9</v>
      </c>
      <c r="J23" s="312">
        <v>742.2</v>
      </c>
      <c r="K23" s="312">
        <v>779.8</v>
      </c>
      <c r="L23" s="312">
        <v>790.7</v>
      </c>
      <c r="M23" s="312">
        <v>755.4</v>
      </c>
      <c r="N23" s="312">
        <v>813.6</v>
      </c>
      <c r="O23" s="312">
        <v>837</v>
      </c>
      <c r="P23" s="312">
        <v>808.6</v>
      </c>
      <c r="Q23" s="312">
        <v>824.4</v>
      </c>
      <c r="R23" s="312">
        <v>820.9</v>
      </c>
      <c r="S23" s="312">
        <v>824.2</v>
      </c>
      <c r="T23" s="312">
        <v>813</v>
      </c>
      <c r="U23" s="312">
        <v>752.1</v>
      </c>
      <c r="V23" s="312">
        <v>777.5</v>
      </c>
      <c r="W23" s="312">
        <v>791.7</v>
      </c>
    </row>
    <row r="24" spans="1:23" ht="17.25" customHeight="1">
      <c r="A24" s="7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ht="17.25" customHeight="1">
      <c r="A25" s="7"/>
      <c r="B25" s="13" t="s">
        <v>179</v>
      </c>
      <c r="C25" s="16"/>
      <c r="D25" s="165"/>
      <c r="E25" s="165"/>
      <c r="F25" s="165"/>
      <c r="G25" s="165"/>
      <c r="H25" s="16"/>
      <c r="I25" s="16"/>
      <c r="J25" s="16"/>
      <c r="K25" s="16"/>
      <c r="L25" s="165"/>
      <c r="M25" s="16"/>
      <c r="N25" s="165"/>
      <c r="O25" s="165"/>
      <c r="P25" s="165"/>
      <c r="Q25" s="165"/>
      <c r="R25" s="16"/>
      <c r="S25" s="165"/>
      <c r="T25" s="165"/>
      <c r="U25" s="165"/>
      <c r="V25" s="165"/>
      <c r="W25" s="16"/>
    </row>
    <row r="26" spans="1:23" ht="17.25" customHeight="1">
      <c r="A26" s="7"/>
      <c r="B26" s="26" t="s">
        <v>10</v>
      </c>
      <c r="C26" s="224">
        <v>40</v>
      </c>
      <c r="D26" s="225">
        <v>43</v>
      </c>
      <c r="E26" s="225">
        <v>44</v>
      </c>
      <c r="F26" s="225">
        <v>45</v>
      </c>
      <c r="G26" s="225">
        <v>52</v>
      </c>
      <c r="H26" s="224">
        <v>46</v>
      </c>
      <c r="I26" s="224">
        <v>53</v>
      </c>
      <c r="J26" s="224">
        <v>50</v>
      </c>
      <c r="K26" s="224">
        <v>45</v>
      </c>
      <c r="L26" s="225">
        <v>48</v>
      </c>
      <c r="M26" s="224">
        <v>49</v>
      </c>
      <c r="N26" s="225">
        <v>45</v>
      </c>
      <c r="O26" s="225">
        <v>47</v>
      </c>
      <c r="P26" s="225">
        <v>46</v>
      </c>
      <c r="Q26" s="323">
        <v>45</v>
      </c>
      <c r="R26" s="224">
        <v>46</v>
      </c>
      <c r="S26" s="225">
        <v>43</v>
      </c>
      <c r="T26" s="225">
        <v>42</v>
      </c>
      <c r="U26" s="225">
        <v>43</v>
      </c>
      <c r="V26" s="225">
        <v>44</v>
      </c>
      <c r="W26" s="224">
        <v>43</v>
      </c>
    </row>
    <row r="27" spans="1:23" ht="17.25" customHeight="1">
      <c r="A27" s="7"/>
      <c r="B27" s="17" t="s">
        <v>186</v>
      </c>
      <c r="C27" s="215">
        <v>55</v>
      </c>
      <c r="D27" s="327">
        <v>57</v>
      </c>
      <c r="E27" s="327">
        <v>57</v>
      </c>
      <c r="F27" s="327">
        <v>54</v>
      </c>
      <c r="G27" s="327">
        <v>51</v>
      </c>
      <c r="H27" s="215">
        <v>55</v>
      </c>
      <c r="I27" s="215">
        <v>50</v>
      </c>
      <c r="J27" s="215">
        <v>47</v>
      </c>
      <c r="K27" s="215">
        <v>47</v>
      </c>
      <c r="L27" s="327">
        <v>48</v>
      </c>
      <c r="M27" s="215">
        <v>48</v>
      </c>
      <c r="N27" s="327">
        <v>47</v>
      </c>
      <c r="O27" s="327">
        <v>44</v>
      </c>
      <c r="P27" s="327">
        <v>44</v>
      </c>
      <c r="Q27" s="328">
        <v>44</v>
      </c>
      <c r="R27" s="215">
        <v>45</v>
      </c>
      <c r="S27" s="327">
        <v>44</v>
      </c>
      <c r="T27" s="327">
        <v>45</v>
      </c>
      <c r="U27" s="327">
        <v>43</v>
      </c>
      <c r="V27" s="327">
        <v>43</v>
      </c>
      <c r="W27" s="215">
        <v>43</v>
      </c>
    </row>
    <row r="28" spans="1:23" ht="17.25" customHeight="1">
      <c r="A28" s="7"/>
      <c r="B28" s="31" t="s">
        <v>4</v>
      </c>
      <c r="C28" s="222">
        <v>36</v>
      </c>
      <c r="D28" s="226">
        <v>33</v>
      </c>
      <c r="E28" s="226">
        <v>31</v>
      </c>
      <c r="F28" s="226">
        <v>26</v>
      </c>
      <c r="G28" s="226">
        <v>32</v>
      </c>
      <c r="H28" s="222">
        <v>30</v>
      </c>
      <c r="I28" s="222">
        <v>31</v>
      </c>
      <c r="J28" s="222">
        <v>38</v>
      </c>
      <c r="K28" s="222">
        <v>33</v>
      </c>
      <c r="L28" s="226">
        <v>34</v>
      </c>
      <c r="M28" s="222">
        <v>34</v>
      </c>
      <c r="N28" s="226">
        <v>29</v>
      </c>
      <c r="O28" s="226">
        <v>29</v>
      </c>
      <c r="P28" s="226">
        <v>28</v>
      </c>
      <c r="Q28" s="324">
        <v>31</v>
      </c>
      <c r="R28" s="222">
        <v>29</v>
      </c>
      <c r="S28" s="226">
        <v>31</v>
      </c>
      <c r="T28" s="226">
        <v>28</v>
      </c>
      <c r="U28" s="226">
        <v>28</v>
      </c>
      <c r="V28" s="226">
        <v>22</v>
      </c>
      <c r="W28" s="222">
        <v>28</v>
      </c>
    </row>
    <row r="29" spans="1:23" ht="17.25" customHeight="1" thickBot="1">
      <c r="A29" s="43"/>
      <c r="B29" s="38" t="s">
        <v>5</v>
      </c>
      <c r="C29" s="201">
        <f aca="true" t="shared" si="10" ref="C29:J29">SUM(C26:C28)</f>
        <v>131</v>
      </c>
      <c r="D29" s="201">
        <f t="shared" si="10"/>
        <v>133</v>
      </c>
      <c r="E29" s="201">
        <f t="shared" si="10"/>
        <v>132</v>
      </c>
      <c r="F29" s="201">
        <f t="shared" si="10"/>
        <v>125</v>
      </c>
      <c r="G29" s="201">
        <f t="shared" si="10"/>
        <v>135</v>
      </c>
      <c r="H29" s="201">
        <f t="shared" si="10"/>
        <v>131</v>
      </c>
      <c r="I29" s="201">
        <f t="shared" si="10"/>
        <v>134</v>
      </c>
      <c r="J29" s="201">
        <f t="shared" si="10"/>
        <v>135</v>
      </c>
      <c r="K29" s="201">
        <f>SUM(K26:K28)</f>
        <v>125</v>
      </c>
      <c r="L29" s="201">
        <f>SUM(L26:L28)</f>
        <v>130</v>
      </c>
      <c r="M29" s="201">
        <f>SUM(M26:M28)</f>
        <v>131</v>
      </c>
      <c r="N29" s="201">
        <f>SUM(N26:N28)</f>
        <v>121</v>
      </c>
      <c r="O29" s="201">
        <f>SUM(O26:O28)</f>
        <v>120</v>
      </c>
      <c r="P29" s="201">
        <v>118</v>
      </c>
      <c r="Q29" s="201">
        <f aca="true" t="shared" si="11" ref="Q29:W29">SUM(Q26:Q28)</f>
        <v>120</v>
      </c>
      <c r="R29" s="201">
        <f t="shared" si="11"/>
        <v>120</v>
      </c>
      <c r="S29" s="201">
        <f t="shared" si="11"/>
        <v>118</v>
      </c>
      <c r="T29" s="201">
        <f t="shared" si="11"/>
        <v>115</v>
      </c>
      <c r="U29" s="201">
        <f t="shared" si="11"/>
        <v>114</v>
      </c>
      <c r="V29" s="201">
        <f t="shared" si="11"/>
        <v>109</v>
      </c>
      <c r="W29" s="201">
        <f t="shared" si="11"/>
        <v>114</v>
      </c>
    </row>
    <row r="30" spans="1:23" ht="17.25" customHeight="1">
      <c r="A30" s="16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7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17.25" customHeight="1">
      <c r="A32" s="169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7.25" customHeight="1">
      <c r="A33" s="288" t="s">
        <v>110</v>
      </c>
      <c r="B33" s="21" t="s">
        <v>180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</sheetData>
  <sheetProtection/>
  <mergeCells count="1">
    <mergeCell ref="B1:B2"/>
  </mergeCells>
  <conditionalFormatting sqref="C23:W23 C20:W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5" r:id="rId1"/>
  <headerFooter alignWithMargins="0">
    <oddFooter>&amp;C&amp;A</oddFooter>
  </headerFooter>
  <ignoredErrors>
    <ignoredError sqref="H17 H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H3" sqref="H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9" width="11.57421875" style="1" customWidth="1"/>
    <col min="30" max="16384" width="1.7109375" style="1" customWidth="1"/>
  </cols>
  <sheetData>
    <row r="1" spans="1:23" ht="21.75" customHeight="1">
      <c r="A1" s="2"/>
      <c r="B1" s="423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.75" customHeight="1">
      <c r="A2" s="4"/>
      <c r="B2" s="422"/>
      <c r="C2" s="6">
        <v>2007</v>
      </c>
      <c r="D2" s="5" t="s">
        <v>74</v>
      </c>
      <c r="E2" s="5" t="s">
        <v>95</v>
      </c>
      <c r="F2" s="5" t="s">
        <v>96</v>
      </c>
      <c r="G2" s="5" t="s">
        <v>97</v>
      </c>
      <c r="H2" s="6">
        <v>2008</v>
      </c>
      <c r="I2" s="5" t="s">
        <v>112</v>
      </c>
      <c r="J2" s="5" t="s">
        <v>124</v>
      </c>
      <c r="K2" s="5" t="s">
        <v>152</v>
      </c>
      <c r="L2" s="5" t="s">
        <v>166</v>
      </c>
      <c r="M2" s="6">
        <v>2009</v>
      </c>
      <c r="N2" s="5" t="s">
        <v>168</v>
      </c>
      <c r="O2" s="5" t="s">
        <v>177</v>
      </c>
      <c r="P2" s="5" t="s">
        <v>181</v>
      </c>
      <c r="Q2" s="5" t="s">
        <v>182</v>
      </c>
      <c r="R2" s="6">
        <v>2010</v>
      </c>
      <c r="S2" s="5" t="s">
        <v>184</v>
      </c>
      <c r="T2" s="5" t="s">
        <v>220</v>
      </c>
      <c r="U2" s="5" t="s">
        <v>225</v>
      </c>
      <c r="V2" s="5" t="s">
        <v>226</v>
      </c>
      <c r="W2" s="6">
        <v>2011</v>
      </c>
    </row>
    <row r="3" spans="1:23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6.5" thickBot="1">
      <c r="A4" s="7"/>
      <c r="B4" s="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7.25" customHeight="1" thickTop="1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7.25" customHeight="1">
      <c r="A6" s="7"/>
      <c r="B6" s="13" t="s">
        <v>113</v>
      </c>
      <c r="C6" s="16"/>
      <c r="D6" s="16"/>
      <c r="E6" s="16"/>
      <c r="F6" s="16"/>
      <c r="G6" s="16"/>
      <c r="H6" s="63"/>
      <c r="I6" s="16"/>
      <c r="J6" s="16"/>
      <c r="K6" s="16"/>
      <c r="L6" s="16"/>
      <c r="M6" s="63"/>
      <c r="N6" s="16"/>
      <c r="O6" s="16"/>
      <c r="P6" s="16"/>
      <c r="Q6" s="16"/>
      <c r="R6" s="63"/>
      <c r="S6" s="16"/>
      <c r="T6" s="16"/>
      <c r="U6" s="16"/>
      <c r="V6" s="16"/>
      <c r="W6" s="63"/>
    </row>
    <row r="7" spans="1:23" s="20" customFormat="1" ht="17.25" customHeight="1" thickBot="1">
      <c r="A7" s="7"/>
      <c r="B7" s="30" t="s">
        <v>14</v>
      </c>
      <c r="C7" s="190">
        <f>+'Private Banking'!C7-WMC!C7</f>
        <v>1882</v>
      </c>
      <c r="D7" s="190">
        <f>+'Private Banking'!D7-WMC!D7</f>
        <v>563</v>
      </c>
      <c r="E7" s="190">
        <f>+'Private Banking'!E7-WMC!E7</f>
        <v>498</v>
      </c>
      <c r="F7" s="190">
        <f>+'Private Banking'!F7-WMC!F7</f>
        <v>529</v>
      </c>
      <c r="G7" s="190">
        <f>+'Private Banking'!G7-WMC!G7</f>
        <v>620</v>
      </c>
      <c r="H7" s="190">
        <f>+'Private Banking'!H7-WMC!H7</f>
        <v>2210</v>
      </c>
      <c r="I7" s="190">
        <f>+'Private Banking'!I7-WMC!I7</f>
        <v>509</v>
      </c>
      <c r="J7" s="190">
        <f>+'Private Banking'!J7-WMC!J7</f>
        <v>450</v>
      </c>
      <c r="K7" s="190">
        <f>+'Private Banking'!K7-WMC!K7</f>
        <v>404</v>
      </c>
      <c r="L7" s="190">
        <f>+'Private Banking'!L7-WMC!L7</f>
        <v>428</v>
      </c>
      <c r="M7" s="190">
        <f>+'Private Banking'!M7-WMC!M7</f>
        <v>1791</v>
      </c>
      <c r="N7" s="190">
        <f>+'Private Banking'!N7-WMC!N7</f>
        <v>436</v>
      </c>
      <c r="O7" s="190">
        <f>+'Private Banking'!O7-WMC!O7</f>
        <v>475</v>
      </c>
      <c r="P7" s="190">
        <f>+'Private Banking'!P7-WMC!P7</f>
        <v>441</v>
      </c>
      <c r="Q7" s="190">
        <f>+'Private Banking'!Q7-WMC!Q7</f>
        <v>450</v>
      </c>
      <c r="R7" s="190">
        <f>+'Private Banking'!R7-WMC!R7</f>
        <v>1802</v>
      </c>
      <c r="S7" s="190">
        <f>+'Private Banking'!S7-WMC!S7</f>
        <v>463</v>
      </c>
      <c r="T7" s="190">
        <f>+'Private Banking'!T7-WMC!T7</f>
        <v>467</v>
      </c>
      <c r="U7" s="190">
        <f>+'Private Banking'!U7-WMC!U7</f>
        <v>462</v>
      </c>
      <c r="V7" s="190">
        <f>+'Private Banking'!V7-WMC!V7</f>
        <v>455</v>
      </c>
      <c r="W7" s="190">
        <f>+'Private Banking'!W7-WMC!W7</f>
        <v>1847</v>
      </c>
    </row>
    <row r="8" spans="1:23" s="20" customFormat="1" ht="17.25" customHeight="1" thickBot="1">
      <c r="A8" s="7"/>
      <c r="B8" s="30" t="s">
        <v>15</v>
      </c>
      <c r="C8" s="190">
        <f>+'Private Banking'!C8-WMC!C8</f>
        <v>-79</v>
      </c>
      <c r="D8" s="190">
        <f>+'Private Banking'!D8-WMC!D8</f>
        <v>-11</v>
      </c>
      <c r="E8" s="190">
        <f>+'Private Banking'!E8-WMC!E8</f>
        <v>-17</v>
      </c>
      <c r="F8" s="190">
        <f>+'Private Banking'!F8-WMC!F8</f>
        <v>5</v>
      </c>
      <c r="G8" s="190">
        <f>+'Private Banking'!G8-WMC!G8</f>
        <v>15</v>
      </c>
      <c r="H8" s="190">
        <f>+'Private Banking'!H8-WMC!H8</f>
        <v>-8</v>
      </c>
      <c r="I8" s="190">
        <f>+'Private Banking'!I8-WMC!I8</f>
        <v>31</v>
      </c>
      <c r="J8" s="190">
        <f>+'Private Banking'!J8-WMC!J8</f>
        <v>59</v>
      </c>
      <c r="K8" s="190">
        <f>+'Private Banking'!K8-WMC!K8</f>
        <v>40</v>
      </c>
      <c r="L8" s="190">
        <f>+'Private Banking'!L8-WMC!L8</f>
        <v>17</v>
      </c>
      <c r="M8" s="190">
        <f>+'Private Banking'!M8-WMC!M8</f>
        <v>147</v>
      </c>
      <c r="N8" s="190">
        <f>+'Private Banking'!N8-WMC!N8</f>
        <v>-13</v>
      </c>
      <c r="O8" s="190">
        <f>+'Private Banking'!O8-WMC!O8</f>
        <v>-13</v>
      </c>
      <c r="P8" s="190">
        <f>+'Private Banking'!P8-WMC!P8</f>
        <v>-16</v>
      </c>
      <c r="Q8" s="190">
        <f>+'Private Banking'!Q8-WMC!Q8</f>
        <v>-10</v>
      </c>
      <c r="R8" s="190">
        <f>+'Private Banking'!R8-WMC!R8</f>
        <v>-52</v>
      </c>
      <c r="S8" s="47">
        <f>+'Private Banking'!S8-WMC!S8</f>
        <v>0</v>
      </c>
      <c r="T8" s="47">
        <f>+'Private Banking'!T8-WMC!T8</f>
        <v>-10</v>
      </c>
      <c r="U8" s="47">
        <f>+'Private Banking'!U8-WMC!U8</f>
        <v>5</v>
      </c>
      <c r="V8" s="47">
        <f>+'Private Banking'!V8-WMC!V8</f>
        <v>32</v>
      </c>
      <c r="W8" s="190">
        <f>+'Private Banking'!W8-WMC!W8</f>
        <v>27</v>
      </c>
    </row>
    <row r="9" spans="1:23" s="20" customFormat="1" ht="17.25" customHeight="1" thickBot="1">
      <c r="A9" s="7"/>
      <c r="B9" s="30" t="s">
        <v>20</v>
      </c>
      <c r="C9" s="190">
        <f>+'Private Banking'!C13-WMC!C9</f>
        <v>876</v>
      </c>
      <c r="D9" s="190">
        <f>+'Private Banking'!D13-WMC!D9</f>
        <v>219</v>
      </c>
      <c r="E9" s="190">
        <f>+'Private Banking'!E13-WMC!E9</f>
        <v>229</v>
      </c>
      <c r="F9" s="190">
        <f>+'Private Banking'!F13-WMC!F9</f>
        <v>224</v>
      </c>
      <c r="G9" s="190">
        <f>+'Private Banking'!G13-WMC!G9</f>
        <v>205</v>
      </c>
      <c r="H9" s="190">
        <f>+'Private Banking'!H13-WMC!H9</f>
        <v>877</v>
      </c>
      <c r="I9" s="190">
        <f>+'Private Banking'!I13-WMC!I9</f>
        <v>210</v>
      </c>
      <c r="J9" s="190">
        <f>+'Private Banking'!J13-WMC!J9</f>
        <v>215</v>
      </c>
      <c r="K9" s="190">
        <f>+'Private Banking'!K13-WMC!K9</f>
        <v>220</v>
      </c>
      <c r="L9" s="190">
        <f>+'Private Banking'!L13-WMC!L9</f>
        <v>246</v>
      </c>
      <c r="M9" s="190">
        <f>+'Private Banking'!M13-WMC!M9</f>
        <v>891</v>
      </c>
      <c r="N9" s="190">
        <f>+'Private Banking'!N13-WMC!N9</f>
        <v>234</v>
      </c>
      <c r="O9" s="190">
        <f>+'Private Banking'!O13-WMC!O9</f>
        <v>247</v>
      </c>
      <c r="P9" s="190">
        <f>+'Private Banking'!P13-WMC!P9</f>
        <v>233</v>
      </c>
      <c r="Q9" s="190">
        <f>+'Private Banking'!Q13-WMC!Q9</f>
        <v>242</v>
      </c>
      <c r="R9" s="190">
        <f>+'Private Banking'!R13-WMC!R9</f>
        <v>956</v>
      </c>
      <c r="S9" s="190">
        <f>+'Private Banking'!S13-WMC!S9</f>
        <v>231</v>
      </c>
      <c r="T9" s="190">
        <f>+'Private Banking'!T13-WMC!T9</f>
        <v>229</v>
      </c>
      <c r="U9" s="190">
        <f>+'Private Banking'!U13-WMC!U9</f>
        <v>240</v>
      </c>
      <c r="V9" s="190">
        <f>+'Private Banking'!V13-WMC!V9</f>
        <v>240</v>
      </c>
      <c r="W9" s="190">
        <f>+'Private Banking'!W13-WMC!W9</f>
        <v>940</v>
      </c>
    </row>
    <row r="10" spans="1:23" s="20" customFormat="1" ht="17.25" customHeight="1" thickBot="1">
      <c r="A10" s="7"/>
      <c r="B10" s="46" t="s">
        <v>108</v>
      </c>
      <c r="C10" s="223">
        <f aca="true" t="shared" si="0" ref="C10:J10">C7-C8-C9</f>
        <v>1085</v>
      </c>
      <c r="D10" s="223">
        <f t="shared" si="0"/>
        <v>355</v>
      </c>
      <c r="E10" s="223">
        <f t="shared" si="0"/>
        <v>286</v>
      </c>
      <c r="F10" s="223">
        <f t="shared" si="0"/>
        <v>300</v>
      </c>
      <c r="G10" s="223">
        <f t="shared" si="0"/>
        <v>400</v>
      </c>
      <c r="H10" s="223">
        <f t="shared" si="0"/>
        <v>1341</v>
      </c>
      <c r="I10" s="223">
        <f t="shared" si="0"/>
        <v>268</v>
      </c>
      <c r="J10" s="223">
        <f t="shared" si="0"/>
        <v>176</v>
      </c>
      <c r="K10" s="223">
        <f aca="true" t="shared" si="1" ref="K10:P10">K7-K8-K9</f>
        <v>144</v>
      </c>
      <c r="L10" s="223">
        <f t="shared" si="1"/>
        <v>165</v>
      </c>
      <c r="M10" s="223">
        <f t="shared" si="1"/>
        <v>753</v>
      </c>
      <c r="N10" s="223">
        <f t="shared" si="1"/>
        <v>215</v>
      </c>
      <c r="O10" s="223">
        <f t="shared" si="1"/>
        <v>241</v>
      </c>
      <c r="P10" s="223">
        <f t="shared" si="1"/>
        <v>224</v>
      </c>
      <c r="Q10" s="223">
        <f aca="true" t="shared" si="2" ref="Q10:W10">Q7-Q8-Q9</f>
        <v>218</v>
      </c>
      <c r="R10" s="223">
        <f t="shared" si="2"/>
        <v>898</v>
      </c>
      <c r="S10" s="223">
        <f t="shared" si="2"/>
        <v>232</v>
      </c>
      <c r="T10" s="223">
        <f t="shared" si="2"/>
        <v>248</v>
      </c>
      <c r="U10" s="223">
        <f t="shared" si="2"/>
        <v>217</v>
      </c>
      <c r="V10" s="223">
        <f t="shared" si="2"/>
        <v>183</v>
      </c>
      <c r="W10" s="223">
        <f t="shared" si="2"/>
        <v>880</v>
      </c>
    </row>
    <row r="11" spans="1:23" ht="17.25" customHeight="1">
      <c r="A11" s="7"/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7.25" customHeight="1">
      <c r="A12" s="7"/>
      <c r="B12" s="13" t="s">
        <v>114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7.25" customHeight="1">
      <c r="A13" s="7"/>
      <c r="B13" s="32" t="s">
        <v>42</v>
      </c>
      <c r="C13" s="235">
        <f aca="true" t="shared" si="3" ref="C13:J13">+C9/C7*100</f>
        <v>46.5</v>
      </c>
      <c r="D13" s="235">
        <f t="shared" si="3"/>
        <v>38.9</v>
      </c>
      <c r="E13" s="235">
        <f t="shared" si="3"/>
        <v>46</v>
      </c>
      <c r="F13" s="235">
        <f t="shared" si="3"/>
        <v>42.3</v>
      </c>
      <c r="G13" s="235">
        <f t="shared" si="3"/>
        <v>33.1</v>
      </c>
      <c r="H13" s="235">
        <f t="shared" si="3"/>
        <v>39.7</v>
      </c>
      <c r="I13" s="235">
        <f t="shared" si="3"/>
        <v>41.3</v>
      </c>
      <c r="J13" s="235">
        <f t="shared" si="3"/>
        <v>47.8</v>
      </c>
      <c r="K13" s="235">
        <f aca="true" t="shared" si="4" ref="K13:P13">+K9/K7*100</f>
        <v>54.5</v>
      </c>
      <c r="L13" s="235">
        <f t="shared" si="4"/>
        <v>57.5</v>
      </c>
      <c r="M13" s="235">
        <f t="shared" si="4"/>
        <v>49.7</v>
      </c>
      <c r="N13" s="235">
        <f t="shared" si="4"/>
        <v>53.7</v>
      </c>
      <c r="O13" s="235">
        <f t="shared" si="4"/>
        <v>52</v>
      </c>
      <c r="P13" s="235">
        <f t="shared" si="4"/>
        <v>52.8</v>
      </c>
      <c r="Q13" s="235">
        <f aca="true" t="shared" si="5" ref="Q13:W13">+Q9/Q7*100</f>
        <v>53.8</v>
      </c>
      <c r="R13" s="235">
        <f t="shared" si="5"/>
        <v>53.1</v>
      </c>
      <c r="S13" s="235">
        <f t="shared" si="5"/>
        <v>49.9</v>
      </c>
      <c r="T13" s="235">
        <f t="shared" si="5"/>
        <v>49</v>
      </c>
      <c r="U13" s="235">
        <f t="shared" si="5"/>
        <v>51.9</v>
      </c>
      <c r="V13" s="235">
        <f t="shared" si="5"/>
        <v>52.7</v>
      </c>
      <c r="W13" s="235">
        <f t="shared" si="5"/>
        <v>50.9</v>
      </c>
    </row>
    <row r="14" spans="1:23" ht="17.25" customHeight="1" thickBot="1">
      <c r="A14" s="7"/>
      <c r="B14" s="65" t="s">
        <v>43</v>
      </c>
      <c r="C14" s="236">
        <f aca="true" t="shared" si="6" ref="C14:J14">+C10/C7*100</f>
        <v>57.7</v>
      </c>
      <c r="D14" s="236">
        <f t="shared" si="6"/>
        <v>63.1</v>
      </c>
      <c r="E14" s="236">
        <f t="shared" si="6"/>
        <v>57.4</v>
      </c>
      <c r="F14" s="236">
        <f t="shared" si="6"/>
        <v>56.7</v>
      </c>
      <c r="G14" s="236">
        <f t="shared" si="6"/>
        <v>64.5</v>
      </c>
      <c r="H14" s="236">
        <f t="shared" si="6"/>
        <v>60.7</v>
      </c>
      <c r="I14" s="236">
        <f t="shared" si="6"/>
        <v>52.7</v>
      </c>
      <c r="J14" s="236">
        <f t="shared" si="6"/>
        <v>39.1</v>
      </c>
      <c r="K14" s="236">
        <f aca="true" t="shared" si="7" ref="K14:P14">+K10/K7*100</f>
        <v>35.6</v>
      </c>
      <c r="L14" s="236">
        <f t="shared" si="7"/>
        <v>38.6</v>
      </c>
      <c r="M14" s="236">
        <f t="shared" si="7"/>
        <v>42</v>
      </c>
      <c r="N14" s="236">
        <f t="shared" si="7"/>
        <v>49.3</v>
      </c>
      <c r="O14" s="236">
        <f t="shared" si="7"/>
        <v>50.7</v>
      </c>
      <c r="P14" s="236">
        <f t="shared" si="7"/>
        <v>50.8</v>
      </c>
      <c r="Q14" s="236">
        <f aca="true" t="shared" si="8" ref="Q14:W14">+Q10/Q7*100</f>
        <v>48.4</v>
      </c>
      <c r="R14" s="236">
        <f t="shared" si="8"/>
        <v>49.8</v>
      </c>
      <c r="S14" s="236">
        <f t="shared" si="8"/>
        <v>50.1</v>
      </c>
      <c r="T14" s="236">
        <f t="shared" si="8"/>
        <v>53.1</v>
      </c>
      <c r="U14" s="236">
        <f t="shared" si="8"/>
        <v>47</v>
      </c>
      <c r="V14" s="236">
        <f t="shared" si="8"/>
        <v>40.2</v>
      </c>
      <c r="W14" s="236">
        <f t="shared" si="8"/>
        <v>47.6</v>
      </c>
    </row>
    <row r="15" spans="1:23" ht="17.25" customHeight="1">
      <c r="A15" s="7"/>
      <c r="B15" s="2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ht="17.25" customHeight="1">
      <c r="A16" s="7"/>
      <c r="B16" s="13" t="s">
        <v>31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20" customFormat="1" ht="17.25" customHeight="1">
      <c r="A17" s="7"/>
      <c r="B17" s="26" t="s">
        <v>10</v>
      </c>
      <c r="C17" s="199">
        <f>+'Private Banking'!C30-WMC!C17</f>
        <v>1195</v>
      </c>
      <c r="D17" s="199">
        <f>+'Private Banking'!D30-WMC!D17</f>
        <v>329</v>
      </c>
      <c r="E17" s="199">
        <f>+'Private Banking'!E30-WMC!E17</f>
        <v>352</v>
      </c>
      <c r="F17" s="199">
        <f>+'Private Banking'!F30-WMC!F17</f>
        <v>348</v>
      </c>
      <c r="G17" s="199">
        <f>+'Private Banking'!G30-WMC!G17</f>
        <v>374</v>
      </c>
      <c r="H17" s="199">
        <f>+'Private Banking'!H30-WMC!H17</f>
        <v>1403</v>
      </c>
      <c r="I17" s="199">
        <f>+'Private Banking'!I30-WMC!I17</f>
        <v>346</v>
      </c>
      <c r="J17" s="199">
        <f>+'Private Banking'!J30-WMC!J17</f>
        <v>341</v>
      </c>
      <c r="K17" s="199">
        <f>+'Private Banking'!K30-WMC!K17</f>
        <v>305</v>
      </c>
      <c r="L17" s="199">
        <f>+'Private Banking'!L30-WMC!L17</f>
        <v>302</v>
      </c>
      <c r="M17" s="199">
        <f>+'Private Banking'!M30-WMC!M17</f>
        <v>1294</v>
      </c>
      <c r="N17" s="199">
        <f>+'Private Banking'!N30-WMC!N17</f>
        <v>293</v>
      </c>
      <c r="O17" s="199">
        <f>+'Private Banking'!O30-WMC!O17</f>
        <v>302</v>
      </c>
      <c r="P17" s="199">
        <f>+'Private Banking'!P30-WMC!P17</f>
        <v>288</v>
      </c>
      <c r="Q17" s="199">
        <f>+'Private Banking'!Q30-WMC!Q17</f>
        <v>301</v>
      </c>
      <c r="R17" s="199">
        <f>+'Private Banking'!R30-WMC!R17</f>
        <v>1184</v>
      </c>
      <c r="S17" s="199">
        <f>+'Private Banking'!S30-WMC!S17</f>
        <v>296</v>
      </c>
      <c r="T17" s="199">
        <f>+'Private Banking'!T30-WMC!T17</f>
        <v>296</v>
      </c>
      <c r="U17" s="199">
        <f>+'Private Banking'!U30-WMC!U17</f>
        <v>289</v>
      </c>
      <c r="V17" s="199">
        <f>+'Private Banking'!V30-WMC!V17</f>
        <v>304</v>
      </c>
      <c r="W17" s="199">
        <f>+'Private Banking'!W30-WMC!W17</f>
        <v>1185</v>
      </c>
    </row>
    <row r="18" spans="1:23" s="20" customFormat="1" ht="17.25" customHeight="1">
      <c r="A18" s="7"/>
      <c r="B18" s="17" t="s">
        <v>186</v>
      </c>
      <c r="C18" s="329">
        <f>+'Private Banking'!C31-WMC!C18</f>
        <v>409</v>
      </c>
      <c r="D18" s="329">
        <f>+'Private Banking'!D31-WMC!D18</f>
        <v>99</v>
      </c>
      <c r="E18" s="329">
        <f>+'Private Banking'!E31-WMC!E18</f>
        <v>99</v>
      </c>
      <c r="F18" s="329">
        <f>+'Private Banking'!F31-WMC!F18</f>
        <v>104</v>
      </c>
      <c r="G18" s="329">
        <f>+'Private Banking'!G31-WMC!G18</f>
        <v>102</v>
      </c>
      <c r="H18" s="329">
        <f>+'Private Banking'!H31-WMC!H18</f>
        <v>404</v>
      </c>
      <c r="I18" s="329">
        <f>+'Private Banking'!I31-WMC!I18</f>
        <v>95</v>
      </c>
      <c r="J18" s="329">
        <f>+'Private Banking'!J31-WMC!J18</f>
        <v>93</v>
      </c>
      <c r="K18" s="329">
        <f>+'Private Banking'!K31-WMC!K18</f>
        <v>91</v>
      </c>
      <c r="L18" s="329">
        <f>+'Private Banking'!L31-WMC!L18</f>
        <v>97</v>
      </c>
      <c r="M18" s="329">
        <f>+'Private Banking'!M31-WMC!M18</f>
        <v>376</v>
      </c>
      <c r="N18" s="329">
        <f>+'Private Banking'!N31-WMC!N18</f>
        <v>100</v>
      </c>
      <c r="O18" s="329">
        <f>+'Private Banking'!O31-WMC!O18</f>
        <v>105</v>
      </c>
      <c r="P18" s="329">
        <f>+'Private Banking'!P31-WMC!P18</f>
        <v>110</v>
      </c>
      <c r="Q18" s="329">
        <f>+'Private Banking'!Q31-WMC!Q18</f>
        <v>111</v>
      </c>
      <c r="R18" s="329">
        <f>+'Private Banking'!R31-WMC!R18</f>
        <v>426</v>
      </c>
      <c r="S18" s="329">
        <f>+'Private Banking'!S31-WMC!S18</f>
        <v>103</v>
      </c>
      <c r="T18" s="329">
        <f>+'Private Banking'!T31-WMC!T18</f>
        <v>106</v>
      </c>
      <c r="U18" s="329">
        <f>+'Private Banking'!U31-WMC!U18</f>
        <v>89</v>
      </c>
      <c r="V18" s="329">
        <f>+'Private Banking'!V31-WMC!V18</f>
        <v>89</v>
      </c>
      <c r="W18" s="329">
        <f>+'Private Banking'!W31-WMC!W18</f>
        <v>387</v>
      </c>
    </row>
    <row r="19" spans="1:23" s="20" customFormat="1" ht="17.25" customHeight="1">
      <c r="A19" s="7"/>
      <c r="B19" s="31" t="s">
        <v>4</v>
      </c>
      <c r="C19" s="200">
        <f>+'Private Banking'!C32-WMC!C19</f>
        <v>278</v>
      </c>
      <c r="D19" s="200">
        <f>+'Private Banking'!D32-WMC!D19</f>
        <v>135</v>
      </c>
      <c r="E19" s="200">
        <f>+'Private Banking'!E32-WMC!E19</f>
        <v>47</v>
      </c>
      <c r="F19" s="200">
        <f>+'Private Banking'!F32-WMC!F19</f>
        <v>77</v>
      </c>
      <c r="G19" s="200">
        <f>+'Private Banking'!G32-WMC!G19</f>
        <v>144</v>
      </c>
      <c r="H19" s="200">
        <f>+'Private Banking'!H32-WMC!H19</f>
        <v>403</v>
      </c>
      <c r="I19" s="200">
        <f>+'Private Banking'!I32-WMC!I19</f>
        <v>68</v>
      </c>
      <c r="J19" s="200">
        <f>+'Private Banking'!J32-WMC!J19</f>
        <v>16</v>
      </c>
      <c r="K19" s="200">
        <f>+'Private Banking'!K32-WMC!K19</f>
        <v>8</v>
      </c>
      <c r="L19" s="200">
        <f>+'Private Banking'!L32-WMC!L19</f>
        <v>29</v>
      </c>
      <c r="M19" s="200">
        <f>+'Private Banking'!M32-WMC!M19</f>
        <v>121</v>
      </c>
      <c r="N19" s="200">
        <f>+'Private Banking'!N32-WMC!N19</f>
        <v>43</v>
      </c>
      <c r="O19" s="200">
        <f>+'Private Banking'!O32-WMC!O19</f>
        <v>68</v>
      </c>
      <c r="P19" s="200">
        <f>+'Private Banking'!P32-WMC!P19</f>
        <v>43</v>
      </c>
      <c r="Q19" s="200">
        <f>+'Private Banking'!Q32-WMC!Q19</f>
        <v>38</v>
      </c>
      <c r="R19" s="200">
        <f>+'Private Banking'!R32-WMC!R19</f>
        <v>192</v>
      </c>
      <c r="S19" s="200">
        <f>+'Private Banking'!S32-WMC!S19</f>
        <v>64</v>
      </c>
      <c r="T19" s="200">
        <f>+'Private Banking'!T32-WMC!T19</f>
        <v>65</v>
      </c>
      <c r="U19" s="200">
        <f>+'Private Banking'!U32-WMC!U19</f>
        <v>84</v>
      </c>
      <c r="V19" s="200">
        <f>+'Private Banking'!V32-WMC!V19</f>
        <v>62</v>
      </c>
      <c r="W19" s="200">
        <f>+'Private Banking'!W32-WMC!W19</f>
        <v>275</v>
      </c>
    </row>
    <row r="20" spans="1:23" s="20" customFormat="1" ht="17.25" customHeight="1" thickBot="1">
      <c r="A20" s="43"/>
      <c r="B20" s="38" t="s">
        <v>14</v>
      </c>
      <c r="C20" s="201">
        <f aca="true" t="shared" si="9" ref="C20:W20">IF((SUM(C17:C19))=C7,SUM(C17:C19),"Error")</f>
        <v>1882</v>
      </c>
      <c r="D20" s="201">
        <f t="shared" si="9"/>
        <v>563</v>
      </c>
      <c r="E20" s="201">
        <f t="shared" si="9"/>
        <v>498</v>
      </c>
      <c r="F20" s="201">
        <f t="shared" si="9"/>
        <v>529</v>
      </c>
      <c r="G20" s="201">
        <f t="shared" si="9"/>
        <v>620</v>
      </c>
      <c r="H20" s="201">
        <f t="shared" si="9"/>
        <v>2210</v>
      </c>
      <c r="I20" s="201">
        <f t="shared" si="9"/>
        <v>509</v>
      </c>
      <c r="J20" s="201">
        <f t="shared" si="9"/>
        <v>450</v>
      </c>
      <c r="K20" s="201">
        <f t="shared" si="9"/>
        <v>404</v>
      </c>
      <c r="L20" s="201">
        <f t="shared" si="9"/>
        <v>428</v>
      </c>
      <c r="M20" s="201">
        <f t="shared" si="9"/>
        <v>1791</v>
      </c>
      <c r="N20" s="201">
        <f t="shared" si="9"/>
        <v>436</v>
      </c>
      <c r="O20" s="201">
        <f t="shared" si="9"/>
        <v>475</v>
      </c>
      <c r="P20" s="201">
        <f t="shared" si="9"/>
        <v>441</v>
      </c>
      <c r="Q20" s="201">
        <f t="shared" si="9"/>
        <v>450</v>
      </c>
      <c r="R20" s="201">
        <f t="shared" si="9"/>
        <v>1802</v>
      </c>
      <c r="S20" s="201">
        <f t="shared" si="9"/>
        <v>463</v>
      </c>
      <c r="T20" s="201">
        <f t="shared" si="9"/>
        <v>467</v>
      </c>
      <c r="U20" s="201">
        <f t="shared" si="9"/>
        <v>462</v>
      </c>
      <c r="V20" s="201">
        <f t="shared" si="9"/>
        <v>455</v>
      </c>
      <c r="W20" s="201">
        <f t="shared" si="9"/>
        <v>1847</v>
      </c>
    </row>
    <row r="21" spans="1:23" s="20" customFormat="1" ht="17.25" customHeight="1">
      <c r="A21" s="43"/>
      <c r="B21" s="37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23" s="20" customFormat="1" ht="17.25" customHeight="1">
      <c r="A22" s="43"/>
      <c r="B22" s="13" t="s">
        <v>178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</row>
    <row r="23" spans="1:23" s="20" customFormat="1" ht="17.25" customHeight="1" thickBot="1">
      <c r="A23" s="43"/>
      <c r="B23" s="65" t="s">
        <v>178</v>
      </c>
      <c r="C23" s="273">
        <v>214.3</v>
      </c>
      <c r="D23" s="273">
        <v>213.5</v>
      </c>
      <c r="E23" s="273">
        <v>218.1</v>
      </c>
      <c r="F23" s="273">
        <v>213.9</v>
      </c>
      <c r="G23" s="273">
        <v>206</v>
      </c>
      <c r="H23" s="273">
        <v>212.9</v>
      </c>
      <c r="I23" s="273">
        <v>200.6</v>
      </c>
      <c r="J23" s="273">
        <v>205.9</v>
      </c>
      <c r="K23" s="273">
        <v>211</v>
      </c>
      <c r="L23" s="273">
        <v>217.9</v>
      </c>
      <c r="M23" s="273">
        <v>208.9</v>
      </c>
      <c r="N23" s="273">
        <v>226.2</v>
      </c>
      <c r="O23" s="273">
        <v>234.7</v>
      </c>
      <c r="P23" s="273">
        <v>231.4</v>
      </c>
      <c r="Q23" s="273">
        <v>234.8</v>
      </c>
      <c r="R23" s="273">
        <v>231.8</v>
      </c>
      <c r="S23" s="273">
        <v>235.8</v>
      </c>
      <c r="T23" s="273">
        <v>239.4</v>
      </c>
      <c r="U23" s="273">
        <v>240.2</v>
      </c>
      <c r="V23" s="273">
        <v>248.3</v>
      </c>
      <c r="W23" s="273">
        <v>240.9</v>
      </c>
    </row>
    <row r="24" spans="1:23" ht="17.25" customHeight="1">
      <c r="A24" s="7"/>
      <c r="B24" s="2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ht="17.25" customHeight="1">
      <c r="A25" s="7"/>
      <c r="B25" s="13" t="s">
        <v>141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7.25" customHeight="1">
      <c r="A26" s="7"/>
      <c r="B26" s="111" t="s">
        <v>142</v>
      </c>
      <c r="C26" s="227">
        <f>C27+C28+C29</f>
        <v>172.1</v>
      </c>
      <c r="D26" s="227">
        <f aca="true" t="shared" si="10" ref="D26:I26">D27+D28+D29</f>
        <v>166.1</v>
      </c>
      <c r="E26" s="227">
        <f t="shared" si="10"/>
        <v>163</v>
      </c>
      <c r="F26" s="227">
        <f t="shared" si="10"/>
        <v>161.9</v>
      </c>
      <c r="G26" s="227">
        <f t="shared" si="10"/>
        <v>148.2</v>
      </c>
      <c r="H26" s="227">
        <f>G26</f>
        <v>148.2</v>
      </c>
      <c r="I26" s="227">
        <f t="shared" si="10"/>
        <v>146.8</v>
      </c>
      <c r="J26" s="227">
        <f>J27+J28+J29</f>
        <v>153.8</v>
      </c>
      <c r="K26" s="227">
        <f>K27+K28+K29</f>
        <v>163.5</v>
      </c>
      <c r="L26" s="227">
        <f>L27+L28+L29</f>
        <v>170</v>
      </c>
      <c r="M26" s="227">
        <f>L26</f>
        <v>170</v>
      </c>
      <c r="N26" s="227">
        <f>N27+N28+N29</f>
        <v>180.2</v>
      </c>
      <c r="O26" s="227">
        <f>O27+O28+O29</f>
        <v>179.2</v>
      </c>
      <c r="P26" s="227">
        <f>P27+P28+P29</f>
        <v>181.2</v>
      </c>
      <c r="Q26" s="227">
        <f>Q27+Q28+Q29</f>
        <v>182.7</v>
      </c>
      <c r="R26" s="227">
        <f>Q26</f>
        <v>182.7</v>
      </c>
      <c r="S26" s="227">
        <f>S27+S28+S29</f>
        <v>185.1</v>
      </c>
      <c r="T26" s="227">
        <f>T27+T28+T29</f>
        <v>191.3</v>
      </c>
      <c r="U26" s="227">
        <f>U27+U28+U29</f>
        <v>188.6</v>
      </c>
      <c r="V26" s="227">
        <f>V27+V28+V29</f>
        <v>194.1</v>
      </c>
      <c r="W26" s="227">
        <f>V26</f>
        <v>194.1</v>
      </c>
    </row>
    <row r="27" spans="1:23" ht="17.25" customHeight="1">
      <c r="A27" s="7"/>
      <c r="B27" s="183" t="s">
        <v>143</v>
      </c>
      <c r="C27" s="228">
        <f>+'Private Banking_2'!C12</f>
        <v>101.6</v>
      </c>
      <c r="D27" s="228">
        <f>+'Private Banking_2'!D12</f>
        <v>96.9</v>
      </c>
      <c r="E27" s="228">
        <f>+'Private Banking_2'!E12</f>
        <v>100.3</v>
      </c>
      <c r="F27" s="228">
        <f>+'Private Banking_2'!F12</f>
        <v>101.2</v>
      </c>
      <c r="G27" s="228">
        <f>+'Private Banking_2'!G12</f>
        <v>94.7</v>
      </c>
      <c r="H27" s="228">
        <f>G27</f>
        <v>94.7</v>
      </c>
      <c r="I27" s="228">
        <f>+'Private Banking_2'!I12</f>
        <v>93.8</v>
      </c>
      <c r="J27" s="228">
        <f>+'Private Banking_2'!J12</f>
        <v>101.1</v>
      </c>
      <c r="K27" s="228">
        <f>+'Private Banking_2'!K12</f>
        <v>109</v>
      </c>
      <c r="L27" s="228">
        <f>+'Private Banking_2'!L12</f>
        <v>112.1</v>
      </c>
      <c r="M27" s="228">
        <f>L27</f>
        <v>112.1</v>
      </c>
      <c r="N27" s="228">
        <f>+'Private Banking_2'!N12</f>
        <v>120.9</v>
      </c>
      <c r="O27" s="228">
        <f>+'Private Banking_2'!O12</f>
        <v>120.3</v>
      </c>
      <c r="P27" s="228">
        <f>+'Private Banking_2'!P12</f>
        <v>122</v>
      </c>
      <c r="Q27" s="228">
        <f>+'Private Banking_2'!Q12</f>
        <v>124.9</v>
      </c>
      <c r="R27" s="228">
        <f>Q27</f>
        <v>124.9</v>
      </c>
      <c r="S27" s="228">
        <f>+'Private Banking_2'!S12</f>
        <v>128.3</v>
      </c>
      <c r="T27" s="228">
        <f>+'Private Banking_2'!T12</f>
        <v>132.1</v>
      </c>
      <c r="U27" s="228">
        <f>+'Private Banking_2'!U12</f>
        <v>129.3</v>
      </c>
      <c r="V27" s="228">
        <f>+'Private Banking_2'!V12</f>
        <v>136.4</v>
      </c>
      <c r="W27" s="228">
        <f>V27</f>
        <v>136.4</v>
      </c>
    </row>
    <row r="28" spans="1:23" ht="17.25" customHeight="1">
      <c r="A28" s="7"/>
      <c r="B28" s="181" t="s">
        <v>144</v>
      </c>
      <c r="C28" s="229">
        <v>59.1</v>
      </c>
      <c r="D28" s="229">
        <v>59</v>
      </c>
      <c r="E28" s="229">
        <v>57.4</v>
      </c>
      <c r="F28" s="229">
        <v>55.5</v>
      </c>
      <c r="G28" s="229">
        <v>49.3</v>
      </c>
      <c r="H28" s="230">
        <f>G28</f>
        <v>49.3</v>
      </c>
      <c r="I28" s="229">
        <v>49.8</v>
      </c>
      <c r="J28" s="229">
        <v>47.7</v>
      </c>
      <c r="K28" s="229">
        <v>48.4</v>
      </c>
      <c r="L28" s="229">
        <v>51.1</v>
      </c>
      <c r="M28" s="230">
        <f>L28</f>
        <v>51.1</v>
      </c>
      <c r="N28" s="229">
        <v>52.7</v>
      </c>
      <c r="O28" s="229">
        <v>52.8</v>
      </c>
      <c r="P28" s="229">
        <v>52.5</v>
      </c>
      <c r="Q28" s="229">
        <v>50.9</v>
      </c>
      <c r="R28" s="230">
        <f>Q28</f>
        <v>50.9</v>
      </c>
      <c r="S28" s="229">
        <v>49.8</v>
      </c>
      <c r="T28" s="229">
        <v>51</v>
      </c>
      <c r="U28" s="229">
        <v>52</v>
      </c>
      <c r="V28" s="229">
        <v>50.8</v>
      </c>
      <c r="W28" s="230">
        <f>V28</f>
        <v>50.8</v>
      </c>
    </row>
    <row r="29" spans="1:23" ht="17.25" customHeight="1">
      <c r="A29" s="7"/>
      <c r="B29" s="182" t="s">
        <v>145</v>
      </c>
      <c r="C29" s="231">
        <v>11.4</v>
      </c>
      <c r="D29" s="231">
        <v>10.2</v>
      </c>
      <c r="E29" s="231">
        <v>5.3</v>
      </c>
      <c r="F29" s="231">
        <v>5.2</v>
      </c>
      <c r="G29" s="231">
        <v>4.2</v>
      </c>
      <c r="H29" s="232">
        <f>G29</f>
        <v>4.2</v>
      </c>
      <c r="I29" s="231">
        <v>3.2</v>
      </c>
      <c r="J29" s="231">
        <v>5</v>
      </c>
      <c r="K29" s="231">
        <v>6.1</v>
      </c>
      <c r="L29" s="231">
        <v>6.8</v>
      </c>
      <c r="M29" s="232">
        <f>L29</f>
        <v>6.8</v>
      </c>
      <c r="N29" s="231">
        <v>6.6</v>
      </c>
      <c r="O29" s="231">
        <v>6.1</v>
      </c>
      <c r="P29" s="231">
        <v>6.7</v>
      </c>
      <c r="Q29" s="231">
        <v>6.9</v>
      </c>
      <c r="R29" s="232">
        <f>Q29</f>
        <v>6.9</v>
      </c>
      <c r="S29" s="231">
        <v>7</v>
      </c>
      <c r="T29" s="231">
        <v>8.2</v>
      </c>
      <c r="U29" s="231">
        <v>7.3</v>
      </c>
      <c r="V29" s="231">
        <v>6.9</v>
      </c>
      <c r="W29" s="232">
        <f>V29</f>
        <v>6.9</v>
      </c>
    </row>
    <row r="30" spans="1:23" ht="17.25" customHeight="1">
      <c r="A30" s="7"/>
      <c r="B30" s="31" t="s">
        <v>47</v>
      </c>
      <c r="C30" s="233">
        <f>+'Private Banking'!C44/1000</f>
        <v>47.4</v>
      </c>
      <c r="D30" s="233">
        <f>+'Private Banking'!D44/1000</f>
        <v>47.2</v>
      </c>
      <c r="E30" s="233">
        <f>+'Private Banking'!E44/1000</f>
        <v>49</v>
      </c>
      <c r="F30" s="233">
        <f>+'Private Banking'!F44/1000</f>
        <v>50.8</v>
      </c>
      <c r="G30" s="233">
        <f>+'Private Banking'!G44/1000</f>
        <v>51.1</v>
      </c>
      <c r="H30" s="233">
        <f>+'Private Banking'!H44/1000</f>
        <v>51.1</v>
      </c>
      <c r="I30" s="233">
        <f>+'Private Banking'!I44/1000</f>
        <v>53.1</v>
      </c>
      <c r="J30" s="233">
        <f>+'Private Banking'!J44/1000</f>
        <v>52.3</v>
      </c>
      <c r="K30" s="233">
        <f>+'Private Banking'!K44/1000</f>
        <v>50.6</v>
      </c>
      <c r="L30" s="233">
        <f>+'Private Banking'!L44/1000</f>
        <v>50.3</v>
      </c>
      <c r="M30" s="233">
        <f>+'Private Banking'!M44/1000</f>
        <v>50.3</v>
      </c>
      <c r="N30" s="233">
        <f>+'Private Banking'!N44/1000</f>
        <v>51</v>
      </c>
      <c r="O30" s="233">
        <f>+'Private Banking'!O44/1000</f>
        <v>51.5</v>
      </c>
      <c r="P30" s="233">
        <f>+'Private Banking'!P44/1000</f>
        <v>50.3</v>
      </c>
      <c r="Q30" s="233">
        <f>+'Private Banking'!Q44/1000</f>
        <v>52.4</v>
      </c>
      <c r="R30" s="233">
        <f>+'Private Banking'!R44/1000</f>
        <v>52.4</v>
      </c>
      <c r="S30" s="233">
        <f>+'Private Banking'!S44/1000</f>
        <v>52.3</v>
      </c>
      <c r="T30" s="233">
        <f>+'Private Banking'!T44/1000</f>
        <v>52.5</v>
      </c>
      <c r="U30" s="233">
        <f>+'Private Banking'!U44/1000</f>
        <v>54</v>
      </c>
      <c r="V30" s="233">
        <f>+'Private Banking'!V44/1000</f>
        <v>56.5</v>
      </c>
      <c r="W30" s="233">
        <f>+'Private Banking'!W44/1000</f>
        <v>56.5</v>
      </c>
    </row>
    <row r="31" spans="1:23" ht="17.25" customHeight="1" thickBot="1">
      <c r="A31" s="7"/>
      <c r="B31" s="30" t="s">
        <v>146</v>
      </c>
      <c r="C31" s="234">
        <f>+C26+C30</f>
        <v>219.5</v>
      </c>
      <c r="D31" s="234">
        <f aca="true" t="shared" si="11" ref="D31:J31">+D26+D30</f>
        <v>213.3</v>
      </c>
      <c r="E31" s="234">
        <f t="shared" si="11"/>
        <v>212</v>
      </c>
      <c r="F31" s="234">
        <f t="shared" si="11"/>
        <v>212.7</v>
      </c>
      <c r="G31" s="234">
        <f t="shared" si="11"/>
        <v>199.3</v>
      </c>
      <c r="H31" s="234">
        <f t="shared" si="11"/>
        <v>199.3</v>
      </c>
      <c r="I31" s="234">
        <f t="shared" si="11"/>
        <v>199.9</v>
      </c>
      <c r="J31" s="234">
        <f t="shared" si="11"/>
        <v>206.1</v>
      </c>
      <c r="K31" s="234">
        <f aca="true" t="shared" si="12" ref="K31:P31">+K26+K30</f>
        <v>214.1</v>
      </c>
      <c r="L31" s="234">
        <f t="shared" si="12"/>
        <v>220.3</v>
      </c>
      <c r="M31" s="234">
        <f t="shared" si="12"/>
        <v>220.3</v>
      </c>
      <c r="N31" s="234">
        <f t="shared" si="12"/>
        <v>231.2</v>
      </c>
      <c r="O31" s="234">
        <f t="shared" si="12"/>
        <v>230.7</v>
      </c>
      <c r="P31" s="234">
        <f t="shared" si="12"/>
        <v>231.5</v>
      </c>
      <c r="Q31" s="234">
        <f aca="true" t="shared" si="13" ref="Q31:W31">+Q26+Q30</f>
        <v>235.1</v>
      </c>
      <c r="R31" s="234">
        <f t="shared" si="13"/>
        <v>235.1</v>
      </c>
      <c r="S31" s="234">
        <f t="shared" si="13"/>
        <v>237.4</v>
      </c>
      <c r="T31" s="234">
        <f t="shared" si="13"/>
        <v>243.8</v>
      </c>
      <c r="U31" s="234">
        <f t="shared" si="13"/>
        <v>242.6</v>
      </c>
      <c r="V31" s="234">
        <f t="shared" si="13"/>
        <v>250.6</v>
      </c>
      <c r="W31" s="234">
        <f t="shared" si="13"/>
        <v>250.6</v>
      </c>
    </row>
    <row r="32" spans="1:23" ht="17.25" customHeight="1">
      <c r="A32" s="7"/>
      <c r="B32" s="37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</row>
    <row r="33" spans="1:23" ht="17.25" customHeight="1">
      <c r="A33" s="7"/>
      <c r="B33" s="13" t="s">
        <v>147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7.25" customHeight="1" thickBot="1">
      <c r="A34" s="7"/>
      <c r="B34" s="65" t="s">
        <v>140</v>
      </c>
      <c r="C34" s="75">
        <v>88</v>
      </c>
      <c r="D34" s="75">
        <v>105</v>
      </c>
      <c r="E34" s="75">
        <v>91</v>
      </c>
      <c r="F34" s="75">
        <v>99</v>
      </c>
      <c r="G34" s="75">
        <v>120</v>
      </c>
      <c r="H34" s="75">
        <v>104</v>
      </c>
      <c r="I34" s="75">
        <v>101</v>
      </c>
      <c r="J34" s="75">
        <v>87</v>
      </c>
      <c r="K34" s="75">
        <v>77</v>
      </c>
      <c r="L34" s="75">
        <v>79</v>
      </c>
      <c r="M34" s="75">
        <v>86</v>
      </c>
      <c r="N34" s="75">
        <v>77</v>
      </c>
      <c r="O34" s="75">
        <v>81</v>
      </c>
      <c r="P34" s="75">
        <v>76</v>
      </c>
      <c r="Q34" s="67">
        <v>77</v>
      </c>
      <c r="R34" s="67">
        <v>78</v>
      </c>
      <c r="S34" s="67">
        <v>79</v>
      </c>
      <c r="T34" s="67">
        <v>78</v>
      </c>
      <c r="U34" s="67">
        <v>77</v>
      </c>
      <c r="V34" s="67">
        <v>73</v>
      </c>
      <c r="W34" s="67">
        <v>77</v>
      </c>
    </row>
    <row r="35" spans="1:23" ht="17.25" customHeight="1">
      <c r="A35" s="169"/>
      <c r="B35" s="2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 ht="17.2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5" customHeight="1">
      <c r="A37" s="169"/>
      <c r="B37" s="2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s="20" customFormat="1" ht="17.25" customHeight="1">
      <c r="A38" s="288" t="s">
        <v>110</v>
      </c>
      <c r="B38" s="21" t="s">
        <v>155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44" ht="11.25" customHeight="1"/>
    <row r="52" ht="13.5" customHeight="1"/>
    <row r="68" ht="11.25" customHeight="1"/>
  </sheetData>
  <sheetProtection/>
  <mergeCells count="1">
    <mergeCell ref="B1:B2"/>
  </mergeCells>
  <conditionalFormatting sqref="C20:W23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="80" zoomScaleNormal="80" zoomScalePageLayoutView="0" workbookViewId="0" topLeftCell="A1">
      <pane xSplit="2" ySplit="2" topLeftCell="L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L3" sqref="L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hidden="1" customWidth="1" outlineLevel="1" collapsed="1"/>
    <col min="8" max="11" width="11.57421875" style="1" hidden="1" customWidth="1" outlineLevel="1"/>
    <col min="12" max="12" width="11.57421875" style="1" customWidth="1" collapsed="1"/>
    <col min="13" max="16" width="11.57421875" style="1" hidden="1" customWidth="1" outlineLevel="1"/>
    <col min="17" max="17" width="11.57421875" style="1" customWidth="1" collapsed="1"/>
    <col min="18" max="27" width="11.57421875" style="1" customWidth="1"/>
    <col min="28" max="16384" width="1.7109375" style="1" customWidth="1"/>
  </cols>
  <sheetData>
    <row r="1" spans="1:27" ht="21.75" customHeight="1">
      <c r="A1" s="2"/>
      <c r="B1" s="423" t="s">
        <v>161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/>
      <c r="B2" s="422"/>
      <c r="C2" s="5" t="s">
        <v>37</v>
      </c>
      <c r="D2" s="5" t="s">
        <v>68</v>
      </c>
      <c r="E2" s="5" t="s">
        <v>70</v>
      </c>
      <c r="F2" s="5" t="s">
        <v>71</v>
      </c>
      <c r="G2" s="6">
        <v>2007</v>
      </c>
      <c r="H2" s="5" t="s">
        <v>74</v>
      </c>
      <c r="I2" s="5" t="s">
        <v>95</v>
      </c>
      <c r="J2" s="5" t="s">
        <v>96</v>
      </c>
      <c r="K2" s="5" t="s">
        <v>97</v>
      </c>
      <c r="L2" s="6">
        <v>2008</v>
      </c>
      <c r="M2" s="5" t="s">
        <v>112</v>
      </c>
      <c r="N2" s="5" t="s">
        <v>124</v>
      </c>
      <c r="O2" s="5" t="s">
        <v>152</v>
      </c>
      <c r="P2" s="5" t="s">
        <v>166</v>
      </c>
      <c r="Q2" s="6">
        <v>2009</v>
      </c>
      <c r="R2" s="5" t="s">
        <v>168</v>
      </c>
      <c r="S2" s="5" t="s">
        <v>177</v>
      </c>
      <c r="T2" s="5" t="s">
        <v>181</v>
      </c>
      <c r="U2" s="5" t="s">
        <v>182</v>
      </c>
      <c r="V2" s="6">
        <v>2010</v>
      </c>
      <c r="W2" s="5" t="s">
        <v>184</v>
      </c>
      <c r="X2" s="5" t="s">
        <v>220</v>
      </c>
      <c r="Y2" s="5" t="s">
        <v>225</v>
      </c>
      <c r="Z2" s="5" t="s">
        <v>226</v>
      </c>
      <c r="AA2" s="6">
        <v>2011</v>
      </c>
    </row>
    <row r="3" spans="1:2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thickBot="1">
      <c r="A4" s="7"/>
      <c r="B4" s="9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7.25" customHeight="1">
      <c r="A6" s="7"/>
      <c r="B6" s="13" t="s">
        <v>31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11"/>
      <c r="Q6" s="11"/>
      <c r="R6" s="290"/>
      <c r="S6" s="290"/>
      <c r="T6" s="290"/>
      <c r="U6" s="11"/>
      <c r="V6" s="11"/>
      <c r="W6" s="290"/>
      <c r="X6" s="290"/>
      <c r="Y6" s="290"/>
      <c r="Z6" s="290"/>
      <c r="AA6" s="11"/>
    </row>
    <row r="7" spans="1:27" s="20" customFormat="1" ht="17.25" customHeight="1">
      <c r="A7" s="7"/>
      <c r="B7" s="26" t="s">
        <v>32</v>
      </c>
      <c r="C7" s="162">
        <v>787</v>
      </c>
      <c r="D7" s="162">
        <v>690</v>
      </c>
      <c r="E7" s="162">
        <v>85</v>
      </c>
      <c r="F7" s="162">
        <v>338</v>
      </c>
      <c r="G7" s="302">
        <f>SUM(C7:F7)</f>
        <v>1900</v>
      </c>
      <c r="H7" s="162">
        <v>153</v>
      </c>
      <c r="I7" s="162">
        <v>228</v>
      </c>
      <c r="J7" s="162">
        <v>71</v>
      </c>
      <c r="K7" s="162">
        <v>-21</v>
      </c>
      <c r="L7" s="302">
        <f>SUM(H7:K7)</f>
        <v>431</v>
      </c>
      <c r="M7" s="162">
        <v>183</v>
      </c>
      <c r="N7" s="162">
        <v>236</v>
      </c>
      <c r="O7" s="162">
        <v>321</v>
      </c>
      <c r="P7" s="123">
        <v>401</v>
      </c>
      <c r="Q7" s="50">
        <f>SUM(M7:P7)</f>
        <v>1141</v>
      </c>
      <c r="R7" s="123">
        <v>452</v>
      </c>
      <c r="S7" s="123">
        <v>460</v>
      </c>
      <c r="T7" s="123">
        <v>509</v>
      </c>
      <c r="U7" s="123">
        <v>594</v>
      </c>
      <c r="V7" s="50">
        <f>SUM(R7:U7)</f>
        <v>2015</v>
      </c>
      <c r="W7" s="123">
        <v>501</v>
      </c>
      <c r="X7" s="123">
        <v>399</v>
      </c>
      <c r="Y7" s="123">
        <v>312</v>
      </c>
      <c r="Z7" s="123">
        <v>229</v>
      </c>
      <c r="AA7" s="50">
        <f aca="true" t="shared" si="0" ref="AA7:AA15">SUM(W7:Z7)</f>
        <v>1441</v>
      </c>
    </row>
    <row r="8" spans="1:27" s="20" customFormat="1" ht="17.25" customHeight="1">
      <c r="A8" s="7"/>
      <c r="B8" s="31" t="s">
        <v>33</v>
      </c>
      <c r="C8" s="178">
        <v>343</v>
      </c>
      <c r="D8" s="178">
        <v>464</v>
      </c>
      <c r="E8" s="178">
        <v>300</v>
      </c>
      <c r="F8" s="178">
        <v>412</v>
      </c>
      <c r="G8" s="303">
        <f aca="true" t="shared" si="1" ref="G8:G15">SUM(C8:F8)</f>
        <v>1519</v>
      </c>
      <c r="H8" s="178">
        <v>183</v>
      </c>
      <c r="I8" s="178">
        <v>264</v>
      </c>
      <c r="J8" s="178">
        <v>198</v>
      </c>
      <c r="K8" s="178">
        <v>211</v>
      </c>
      <c r="L8" s="303">
        <f aca="true" t="shared" si="2" ref="L8:L15">SUM(H8:K8)</f>
        <v>856</v>
      </c>
      <c r="M8" s="178">
        <v>74</v>
      </c>
      <c r="N8" s="178">
        <v>301</v>
      </c>
      <c r="O8" s="178">
        <v>351</v>
      </c>
      <c r="P8" s="133">
        <v>464</v>
      </c>
      <c r="Q8" s="60">
        <f aca="true" t="shared" si="3" ref="Q8:Q15">SUM(M8:P8)</f>
        <v>1190</v>
      </c>
      <c r="R8" s="133">
        <v>219</v>
      </c>
      <c r="S8" s="133">
        <v>216</v>
      </c>
      <c r="T8" s="133">
        <v>169</v>
      </c>
      <c r="U8" s="133">
        <v>297</v>
      </c>
      <c r="V8" s="60">
        <f aca="true" t="shared" si="4" ref="V8:V15">SUM(R8:U8)</f>
        <v>901</v>
      </c>
      <c r="W8" s="133">
        <v>201</v>
      </c>
      <c r="X8" s="133">
        <v>294</v>
      </c>
      <c r="Y8" s="133">
        <v>113</v>
      </c>
      <c r="Z8" s="133">
        <v>111</v>
      </c>
      <c r="AA8" s="60">
        <f t="shared" si="0"/>
        <v>719</v>
      </c>
    </row>
    <row r="9" spans="1:27" s="20" customFormat="1" ht="17.25" customHeight="1">
      <c r="A9" s="7"/>
      <c r="B9" s="32" t="s">
        <v>34</v>
      </c>
      <c r="C9" s="291">
        <f aca="true" t="shared" si="5" ref="C9:K9">+C7+C8</f>
        <v>1130</v>
      </c>
      <c r="D9" s="291">
        <f t="shared" si="5"/>
        <v>1154</v>
      </c>
      <c r="E9" s="291">
        <f t="shared" si="5"/>
        <v>385</v>
      </c>
      <c r="F9" s="291">
        <f t="shared" si="5"/>
        <v>750</v>
      </c>
      <c r="G9" s="291">
        <f t="shared" si="1"/>
        <v>3419</v>
      </c>
      <c r="H9" s="291">
        <f t="shared" si="5"/>
        <v>336</v>
      </c>
      <c r="I9" s="291">
        <f t="shared" si="5"/>
        <v>492</v>
      </c>
      <c r="J9" s="291">
        <f t="shared" si="5"/>
        <v>269</v>
      </c>
      <c r="K9" s="291">
        <f t="shared" si="5"/>
        <v>190</v>
      </c>
      <c r="L9" s="291">
        <f t="shared" si="2"/>
        <v>1287</v>
      </c>
      <c r="M9" s="291">
        <f>+M7+M8</f>
        <v>257</v>
      </c>
      <c r="N9" s="291">
        <f>+N7+N8</f>
        <v>537</v>
      </c>
      <c r="O9" s="291">
        <f>+O7+O8</f>
        <v>672</v>
      </c>
      <c r="P9" s="57">
        <f>+P7+P8</f>
        <v>865</v>
      </c>
      <c r="Q9" s="57">
        <f t="shared" si="3"/>
        <v>2331</v>
      </c>
      <c r="R9" s="57">
        <f>+R7+R8</f>
        <v>671</v>
      </c>
      <c r="S9" s="57">
        <f>+S7+S8</f>
        <v>676</v>
      </c>
      <c r="T9" s="57">
        <f>+T7+T8</f>
        <v>678</v>
      </c>
      <c r="U9" s="57">
        <v>891</v>
      </c>
      <c r="V9" s="57">
        <f t="shared" si="4"/>
        <v>2916</v>
      </c>
      <c r="W9" s="57">
        <f>+W7+W8</f>
        <v>702</v>
      </c>
      <c r="X9" s="57">
        <f>+X7+X8</f>
        <v>693</v>
      </c>
      <c r="Y9" s="57">
        <f>+Y7+Y8</f>
        <v>425</v>
      </c>
      <c r="Z9" s="57">
        <f>+Z7+Z8</f>
        <v>340</v>
      </c>
      <c r="AA9" s="57">
        <f t="shared" si="0"/>
        <v>2160</v>
      </c>
    </row>
    <row r="10" spans="1:27" s="20" customFormat="1" ht="17.25" customHeight="1">
      <c r="A10" s="7"/>
      <c r="B10" s="32" t="s">
        <v>35</v>
      </c>
      <c r="C10" s="292">
        <v>478</v>
      </c>
      <c r="D10" s="292">
        <v>545</v>
      </c>
      <c r="E10" s="292">
        <v>399</v>
      </c>
      <c r="F10" s="292">
        <v>457</v>
      </c>
      <c r="G10" s="291">
        <f t="shared" si="1"/>
        <v>1879</v>
      </c>
      <c r="H10" s="292">
        <v>382</v>
      </c>
      <c r="I10" s="292">
        <v>329</v>
      </c>
      <c r="J10" s="292">
        <v>319</v>
      </c>
      <c r="K10" s="292">
        <v>318</v>
      </c>
      <c r="L10" s="291">
        <f t="shared" si="2"/>
        <v>1348</v>
      </c>
      <c r="M10" s="292">
        <v>191</v>
      </c>
      <c r="N10" s="292">
        <v>166</v>
      </c>
      <c r="O10" s="292">
        <v>107</v>
      </c>
      <c r="P10" s="127">
        <v>329</v>
      </c>
      <c r="Q10" s="57">
        <f t="shared" si="3"/>
        <v>793</v>
      </c>
      <c r="R10" s="127">
        <v>216</v>
      </c>
      <c r="S10" s="127">
        <v>312</v>
      </c>
      <c r="T10" s="127">
        <v>212</v>
      </c>
      <c r="U10" s="127">
        <v>350</v>
      </c>
      <c r="V10" s="57">
        <f t="shared" si="4"/>
        <v>1090</v>
      </c>
      <c r="W10" s="127">
        <v>228</v>
      </c>
      <c r="X10" s="127">
        <v>272</v>
      </c>
      <c r="Y10" s="127">
        <v>181</v>
      </c>
      <c r="Z10" s="127">
        <v>176</v>
      </c>
      <c r="AA10" s="57">
        <f t="shared" si="0"/>
        <v>857</v>
      </c>
    </row>
    <row r="11" spans="1:27" s="20" customFormat="1" ht="17.25" customHeight="1" thickBot="1">
      <c r="A11" s="7"/>
      <c r="B11" s="30" t="s">
        <v>36</v>
      </c>
      <c r="C11" s="157">
        <f aca="true" t="shared" si="6" ref="C11:K11">SUM(C9:C10)</f>
        <v>1608</v>
      </c>
      <c r="D11" s="157">
        <f t="shared" si="6"/>
        <v>1699</v>
      </c>
      <c r="E11" s="157">
        <f t="shared" si="6"/>
        <v>784</v>
      </c>
      <c r="F11" s="157">
        <f t="shared" si="6"/>
        <v>1207</v>
      </c>
      <c r="G11" s="157">
        <f t="shared" si="1"/>
        <v>5298</v>
      </c>
      <c r="H11" s="157">
        <f t="shared" si="6"/>
        <v>718</v>
      </c>
      <c r="I11" s="157">
        <f t="shared" si="6"/>
        <v>821</v>
      </c>
      <c r="J11" s="157">
        <f t="shared" si="6"/>
        <v>588</v>
      </c>
      <c r="K11" s="157">
        <f t="shared" si="6"/>
        <v>508</v>
      </c>
      <c r="L11" s="157">
        <f t="shared" si="2"/>
        <v>2635</v>
      </c>
      <c r="M11" s="157">
        <f>SUM(M9:M10)</f>
        <v>448</v>
      </c>
      <c r="N11" s="157">
        <f>SUM(N9:N10)</f>
        <v>703</v>
      </c>
      <c r="O11" s="157">
        <f>SUM(O9:O10)</f>
        <v>779</v>
      </c>
      <c r="P11" s="47">
        <f>SUM(P9:P10)</f>
        <v>1194</v>
      </c>
      <c r="Q11" s="47">
        <f t="shared" si="3"/>
        <v>3124</v>
      </c>
      <c r="R11" s="47">
        <f>SUM(R9:R10)</f>
        <v>887</v>
      </c>
      <c r="S11" s="47">
        <f>SUM(S9:S10)</f>
        <v>988</v>
      </c>
      <c r="T11" s="47">
        <f>SUM(T9:T10)</f>
        <v>890</v>
      </c>
      <c r="U11" s="47">
        <f>SUM(U9:U10)</f>
        <v>1241</v>
      </c>
      <c r="V11" s="47">
        <f t="shared" si="4"/>
        <v>4006</v>
      </c>
      <c r="W11" s="47">
        <f>SUM(W9:W10)</f>
        <v>930</v>
      </c>
      <c r="X11" s="47">
        <f>SUM(X9:X10)</f>
        <v>965</v>
      </c>
      <c r="Y11" s="47">
        <f>SUM(Y9:Y10)</f>
        <v>606</v>
      </c>
      <c r="Z11" s="47">
        <f>SUM(Z9:Z10)</f>
        <v>516</v>
      </c>
      <c r="AA11" s="47">
        <f t="shared" si="0"/>
        <v>3017</v>
      </c>
    </row>
    <row r="12" spans="1:27" s="20" customFormat="1" ht="17.25" customHeight="1">
      <c r="A12" s="7"/>
      <c r="B12" s="21" t="s">
        <v>169</v>
      </c>
      <c r="C12" s="293">
        <v>2679</v>
      </c>
      <c r="D12" s="293">
        <v>3186</v>
      </c>
      <c r="E12" s="293">
        <v>443</v>
      </c>
      <c r="F12" s="293">
        <v>-638</v>
      </c>
      <c r="G12" s="304">
        <f t="shared" si="1"/>
        <v>5670</v>
      </c>
      <c r="H12" s="293">
        <v>-1702</v>
      </c>
      <c r="I12" s="293">
        <v>311</v>
      </c>
      <c r="J12" s="293">
        <v>-1071</v>
      </c>
      <c r="K12" s="293">
        <v>-2910</v>
      </c>
      <c r="L12" s="304">
        <f t="shared" si="2"/>
        <v>-5372</v>
      </c>
      <c r="M12" s="293">
        <v>4022</v>
      </c>
      <c r="N12" s="293">
        <v>3141</v>
      </c>
      <c r="O12" s="293">
        <v>2476</v>
      </c>
      <c r="P12" s="122">
        <v>818</v>
      </c>
      <c r="Q12" s="49">
        <f t="shared" si="3"/>
        <v>10457</v>
      </c>
      <c r="R12" s="122">
        <v>2662</v>
      </c>
      <c r="S12" s="122">
        <v>1438</v>
      </c>
      <c r="T12" s="122">
        <v>1458</v>
      </c>
      <c r="U12" s="122">
        <v>888</v>
      </c>
      <c r="V12" s="49">
        <f t="shared" si="4"/>
        <v>6446</v>
      </c>
      <c r="W12" s="122">
        <v>2493</v>
      </c>
      <c r="X12" s="122">
        <v>595</v>
      </c>
      <c r="Y12" s="122">
        <v>762</v>
      </c>
      <c r="Z12" s="122">
        <v>36</v>
      </c>
      <c r="AA12" s="49">
        <f t="shared" si="0"/>
        <v>3886</v>
      </c>
    </row>
    <row r="13" spans="1:27" s="20" customFormat="1" ht="17.25" customHeight="1">
      <c r="A13" s="7"/>
      <c r="B13" s="29" t="s">
        <v>170</v>
      </c>
      <c r="C13" s="168">
        <v>2173</v>
      </c>
      <c r="D13" s="168">
        <v>2560</v>
      </c>
      <c r="E13" s="168">
        <v>991</v>
      </c>
      <c r="F13" s="168">
        <v>2048</v>
      </c>
      <c r="G13" s="305">
        <f t="shared" si="1"/>
        <v>7772</v>
      </c>
      <c r="H13" s="168">
        <v>1360</v>
      </c>
      <c r="I13" s="168">
        <v>2206</v>
      </c>
      <c r="J13" s="168">
        <v>136</v>
      </c>
      <c r="K13" s="168">
        <v>-2231</v>
      </c>
      <c r="L13" s="305">
        <f t="shared" si="2"/>
        <v>1471</v>
      </c>
      <c r="M13" s="168">
        <v>2323</v>
      </c>
      <c r="N13" s="168">
        <v>2209</v>
      </c>
      <c r="O13" s="168">
        <v>1835</v>
      </c>
      <c r="P13" s="124">
        <v>1102</v>
      </c>
      <c r="Q13" s="51">
        <f t="shared" si="3"/>
        <v>7469</v>
      </c>
      <c r="R13" s="124">
        <v>1694</v>
      </c>
      <c r="S13" s="124">
        <v>1723</v>
      </c>
      <c r="T13" s="124">
        <v>1080</v>
      </c>
      <c r="U13" s="124">
        <v>1387</v>
      </c>
      <c r="V13" s="51">
        <f t="shared" si="4"/>
        <v>5884</v>
      </c>
      <c r="W13" s="124">
        <v>1529</v>
      </c>
      <c r="X13" s="124">
        <v>1269</v>
      </c>
      <c r="Y13" s="124">
        <v>1182</v>
      </c>
      <c r="Z13" s="124">
        <v>758</v>
      </c>
      <c r="AA13" s="51">
        <f t="shared" si="0"/>
        <v>4738</v>
      </c>
    </row>
    <row r="14" spans="1:27" s="20" customFormat="1" ht="17.25" customHeight="1" thickBot="1">
      <c r="A14" s="7"/>
      <c r="B14" s="30" t="s">
        <v>171</v>
      </c>
      <c r="C14" s="157">
        <f aca="true" t="shared" si="7" ref="C14:K14">SUM(C12:C13)</f>
        <v>4852</v>
      </c>
      <c r="D14" s="157">
        <f t="shared" si="7"/>
        <v>5746</v>
      </c>
      <c r="E14" s="157">
        <f t="shared" si="7"/>
        <v>1434</v>
      </c>
      <c r="F14" s="157">
        <f t="shared" si="7"/>
        <v>1410</v>
      </c>
      <c r="G14" s="157">
        <f t="shared" si="1"/>
        <v>13442</v>
      </c>
      <c r="H14" s="157">
        <f t="shared" si="7"/>
        <v>-342</v>
      </c>
      <c r="I14" s="157">
        <f t="shared" si="7"/>
        <v>2517</v>
      </c>
      <c r="J14" s="157">
        <f t="shared" si="7"/>
        <v>-935</v>
      </c>
      <c r="K14" s="157">
        <f t="shared" si="7"/>
        <v>-5141</v>
      </c>
      <c r="L14" s="157">
        <f t="shared" si="2"/>
        <v>-3901</v>
      </c>
      <c r="M14" s="157">
        <f>SUM(M12:M13)</f>
        <v>6345</v>
      </c>
      <c r="N14" s="157">
        <f>SUM(N12:N13)</f>
        <v>5350</v>
      </c>
      <c r="O14" s="157">
        <f>SUM(O12:O13)</f>
        <v>4311</v>
      </c>
      <c r="P14" s="47">
        <f>SUM(P12:P13)</f>
        <v>1920</v>
      </c>
      <c r="Q14" s="47">
        <f t="shared" si="3"/>
        <v>17926</v>
      </c>
      <c r="R14" s="47">
        <f>SUM(R12:R13)</f>
        <v>4356</v>
      </c>
      <c r="S14" s="47">
        <f>SUM(S12:S13)</f>
        <v>3161</v>
      </c>
      <c r="T14" s="47">
        <f>SUM(T12:T13)</f>
        <v>2538</v>
      </c>
      <c r="U14" s="47">
        <f>SUM(U12:U13)</f>
        <v>2275</v>
      </c>
      <c r="V14" s="47">
        <f t="shared" si="4"/>
        <v>12330</v>
      </c>
      <c r="W14" s="47">
        <f>SUM(W12:W13)</f>
        <v>4022</v>
      </c>
      <c r="X14" s="47">
        <f>SUM(X12:X13)</f>
        <v>1864</v>
      </c>
      <c r="Y14" s="47">
        <f>SUM(Y12:Y13)</f>
        <v>1944</v>
      </c>
      <c r="Z14" s="47">
        <f>SUM(Z12:Z13)</f>
        <v>794</v>
      </c>
      <c r="AA14" s="47">
        <f t="shared" si="0"/>
        <v>8624</v>
      </c>
    </row>
    <row r="15" spans="1:27" s="20" customFormat="1" ht="17.25" customHeight="1">
      <c r="A15" s="7"/>
      <c r="B15" s="32" t="s">
        <v>7</v>
      </c>
      <c r="C15" s="294">
        <v>88</v>
      </c>
      <c r="D15" s="294">
        <v>6</v>
      </c>
      <c r="E15" s="294">
        <v>-162</v>
      </c>
      <c r="F15" s="294">
        <v>-88</v>
      </c>
      <c r="G15" s="306">
        <f t="shared" si="1"/>
        <v>-156</v>
      </c>
      <c r="H15" s="294">
        <v>-879</v>
      </c>
      <c r="I15" s="294">
        <v>367</v>
      </c>
      <c r="J15" s="294">
        <v>-208</v>
      </c>
      <c r="K15" s="294">
        <v>15</v>
      </c>
      <c r="L15" s="306">
        <f t="shared" si="2"/>
        <v>-705</v>
      </c>
      <c r="M15" s="294">
        <v>-351</v>
      </c>
      <c r="N15" s="294">
        <v>-42</v>
      </c>
      <c r="O15" s="294">
        <v>-44</v>
      </c>
      <c r="P15" s="135">
        <v>-76</v>
      </c>
      <c r="Q15" s="78">
        <f t="shared" si="3"/>
        <v>-513</v>
      </c>
      <c r="R15" s="135">
        <v>-27</v>
      </c>
      <c r="S15" s="135">
        <v>-50</v>
      </c>
      <c r="T15" s="135">
        <v>-7</v>
      </c>
      <c r="U15" s="135">
        <v>-38</v>
      </c>
      <c r="V15" s="78">
        <f t="shared" si="4"/>
        <v>-122</v>
      </c>
      <c r="W15" s="135">
        <v>-23</v>
      </c>
      <c r="X15" s="135">
        <v>-7</v>
      </c>
      <c r="Y15" s="135">
        <v>-56</v>
      </c>
      <c r="Z15" s="135">
        <v>-59</v>
      </c>
      <c r="AA15" s="78">
        <f t="shared" si="0"/>
        <v>-145</v>
      </c>
    </row>
    <row r="16" spans="1:27" s="20" customFormat="1" ht="17.25" customHeight="1" thickBot="1">
      <c r="A16" s="7"/>
      <c r="B16" s="30" t="s">
        <v>14</v>
      </c>
      <c r="C16" s="157">
        <f aca="true" t="shared" si="8" ref="C16:T16">IF((+C11+C14+C15)=C19,(+C11+C14+C15),"Error")</f>
        <v>6548</v>
      </c>
      <c r="D16" s="157">
        <f t="shared" si="8"/>
        <v>7451</v>
      </c>
      <c r="E16" s="157">
        <f t="shared" si="8"/>
        <v>2056</v>
      </c>
      <c r="F16" s="157">
        <f t="shared" si="8"/>
        <v>2529</v>
      </c>
      <c r="G16" s="157">
        <f t="shared" si="8"/>
        <v>18584</v>
      </c>
      <c r="H16" s="157">
        <f t="shared" si="8"/>
        <v>-503</v>
      </c>
      <c r="I16" s="157">
        <f t="shared" si="8"/>
        <v>3705</v>
      </c>
      <c r="J16" s="157">
        <f t="shared" si="8"/>
        <v>-555</v>
      </c>
      <c r="K16" s="157">
        <f t="shared" si="8"/>
        <v>-4618</v>
      </c>
      <c r="L16" s="157">
        <f t="shared" si="8"/>
        <v>-1971</v>
      </c>
      <c r="M16" s="157">
        <f t="shared" si="8"/>
        <v>6442</v>
      </c>
      <c r="N16" s="157">
        <f t="shared" si="8"/>
        <v>6011</v>
      </c>
      <c r="O16" s="157">
        <f t="shared" si="8"/>
        <v>5046</v>
      </c>
      <c r="P16" s="47">
        <f t="shared" si="8"/>
        <v>3038</v>
      </c>
      <c r="Q16" s="47">
        <f t="shared" si="8"/>
        <v>20537</v>
      </c>
      <c r="R16" s="47">
        <f t="shared" si="8"/>
        <v>5216</v>
      </c>
      <c r="S16" s="47">
        <f t="shared" si="8"/>
        <v>4099</v>
      </c>
      <c r="T16" s="47">
        <f t="shared" si="8"/>
        <v>3421</v>
      </c>
      <c r="U16" s="47">
        <f aca="true" t="shared" si="9" ref="U16:AA16">IF((+U11+U14+U15)=U19,(+U11+U14+U15),"Error")</f>
        <v>3478</v>
      </c>
      <c r="V16" s="47">
        <f t="shared" si="9"/>
        <v>16214</v>
      </c>
      <c r="W16" s="47">
        <f t="shared" si="9"/>
        <v>4929</v>
      </c>
      <c r="X16" s="47">
        <f t="shared" si="9"/>
        <v>2822</v>
      </c>
      <c r="Y16" s="47">
        <f t="shared" si="9"/>
        <v>2494</v>
      </c>
      <c r="Z16" s="47">
        <f>IF((+Z11+Z14+Z15)=Z19,(+Z11+Z14+Z15),"Error")</f>
        <v>1251</v>
      </c>
      <c r="AA16" s="47">
        <f t="shared" si="9"/>
        <v>11496</v>
      </c>
    </row>
    <row r="17" spans="1:27" ht="17.25" customHeight="1">
      <c r="A17" s="7"/>
      <c r="B17" s="11"/>
      <c r="C17" s="16"/>
      <c r="D17" s="16"/>
      <c r="E17" s="16"/>
      <c r="F17" s="16"/>
      <c r="G17" s="63"/>
      <c r="H17" s="16"/>
      <c r="I17" s="16"/>
      <c r="J17" s="16"/>
      <c r="K17" s="16"/>
      <c r="L17" s="63"/>
      <c r="M17" s="16"/>
      <c r="N17" s="16"/>
      <c r="O17" s="16"/>
      <c r="P17" s="16"/>
      <c r="Q17" s="63"/>
      <c r="R17" s="16"/>
      <c r="S17" s="16"/>
      <c r="T17" s="16"/>
      <c r="U17" s="16"/>
      <c r="V17" s="63"/>
      <c r="W17" s="16"/>
      <c r="X17" s="16"/>
      <c r="Y17" s="16"/>
      <c r="Z17" s="16"/>
      <c r="AA17" s="63"/>
    </row>
    <row r="18" spans="1:27" ht="17.25" customHeight="1">
      <c r="A18" s="7"/>
      <c r="B18" s="13" t="s">
        <v>113</v>
      </c>
      <c r="C18" s="16"/>
      <c r="D18" s="16"/>
      <c r="E18" s="16"/>
      <c r="F18" s="16"/>
      <c r="G18" s="179"/>
      <c r="H18" s="179"/>
      <c r="I18" s="16"/>
      <c r="J18" s="16"/>
      <c r="K18" s="16"/>
      <c r="L18" s="63"/>
      <c r="M18" s="16"/>
      <c r="N18" s="16"/>
      <c r="O18" s="16"/>
      <c r="P18" s="16"/>
      <c r="Q18" s="63"/>
      <c r="R18" s="16"/>
      <c r="S18" s="16"/>
      <c r="T18" s="16"/>
      <c r="U18" s="16"/>
      <c r="V18" s="63"/>
      <c r="W18" s="16"/>
      <c r="X18" s="16"/>
      <c r="Y18" s="16"/>
      <c r="Z18" s="16"/>
      <c r="AA18" s="63"/>
    </row>
    <row r="19" spans="1:27" s="20" customFormat="1" ht="17.25" customHeight="1" thickBot="1">
      <c r="A19" s="7"/>
      <c r="B19" s="30" t="s">
        <v>14</v>
      </c>
      <c r="C19" s="120">
        <v>6548</v>
      </c>
      <c r="D19" s="120">
        <v>7451</v>
      </c>
      <c r="E19" s="120">
        <v>2056</v>
      </c>
      <c r="F19" s="120">
        <v>2529</v>
      </c>
      <c r="G19" s="47">
        <f>SUM(C19:F19)</f>
        <v>18584</v>
      </c>
      <c r="H19" s="120">
        <v>-503</v>
      </c>
      <c r="I19" s="120">
        <v>3705</v>
      </c>
      <c r="J19" s="120">
        <v>-555</v>
      </c>
      <c r="K19" s="120">
        <v>-4618</v>
      </c>
      <c r="L19" s="47">
        <f>SUM(H19:K19)</f>
        <v>-1971</v>
      </c>
      <c r="M19" s="120">
        <v>6442</v>
      </c>
      <c r="N19" s="120">
        <v>6011</v>
      </c>
      <c r="O19" s="120">
        <v>5046</v>
      </c>
      <c r="P19" s="120">
        <v>3038</v>
      </c>
      <c r="Q19" s="47">
        <f>SUM(M19:P19)</f>
        <v>20537</v>
      </c>
      <c r="R19" s="120">
        <v>5216</v>
      </c>
      <c r="S19" s="120">
        <v>4099</v>
      </c>
      <c r="T19" s="120">
        <v>3421</v>
      </c>
      <c r="U19" s="120">
        <v>3478</v>
      </c>
      <c r="V19" s="47">
        <f>SUM(R19:U19)</f>
        <v>16214</v>
      </c>
      <c r="W19" s="120">
        <v>4929</v>
      </c>
      <c r="X19" s="120">
        <v>2822</v>
      </c>
      <c r="Y19" s="120">
        <v>2494</v>
      </c>
      <c r="Z19" s="120">
        <v>1251</v>
      </c>
      <c r="AA19" s="47">
        <f aca="true" t="shared" si="10" ref="AA19:AA26">SUM(W19:Z19)</f>
        <v>11496</v>
      </c>
    </row>
    <row r="20" spans="1:27" s="44" customFormat="1" ht="17.25" customHeight="1" thickBot="1">
      <c r="A20" s="43"/>
      <c r="B20" s="30" t="s">
        <v>15</v>
      </c>
      <c r="C20" s="120">
        <v>60</v>
      </c>
      <c r="D20" s="120">
        <v>9</v>
      </c>
      <c r="E20" s="120">
        <v>21</v>
      </c>
      <c r="F20" s="120">
        <v>211</v>
      </c>
      <c r="G20" s="47">
        <f aca="true" t="shared" si="11" ref="G20:G26">SUM(C20:F20)</f>
        <v>301</v>
      </c>
      <c r="H20" s="120">
        <v>155</v>
      </c>
      <c r="I20" s="120">
        <v>50</v>
      </c>
      <c r="J20" s="120">
        <v>119</v>
      </c>
      <c r="K20" s="120">
        <v>355</v>
      </c>
      <c r="L20" s="47">
        <f aca="true" t="shared" si="12" ref="L20:L26">SUM(H20:K20)</f>
        <v>679</v>
      </c>
      <c r="M20" s="120">
        <v>136</v>
      </c>
      <c r="N20" s="120">
        <v>238</v>
      </c>
      <c r="O20" s="120">
        <v>18</v>
      </c>
      <c r="P20" s="120">
        <v>-66</v>
      </c>
      <c r="Q20" s="47">
        <f aca="true" t="shared" si="13" ref="Q20:Q26">SUM(M20:P20)</f>
        <v>326</v>
      </c>
      <c r="R20" s="120">
        <v>-69</v>
      </c>
      <c r="S20" s="120">
        <v>17</v>
      </c>
      <c r="T20" s="120">
        <v>-18</v>
      </c>
      <c r="U20" s="120">
        <v>-27</v>
      </c>
      <c r="V20" s="47">
        <f aca="true" t="shared" si="14" ref="V20:V26">SUM(R20:U20)</f>
        <v>-97</v>
      </c>
      <c r="W20" s="120">
        <v>-19</v>
      </c>
      <c r="X20" s="120">
        <v>15</v>
      </c>
      <c r="Y20" s="120">
        <v>59</v>
      </c>
      <c r="Z20" s="120">
        <v>22</v>
      </c>
      <c r="AA20" s="47">
        <f t="shared" si="10"/>
        <v>77</v>
      </c>
    </row>
    <row r="21" spans="1:27" s="20" customFormat="1" ht="17.25" customHeight="1">
      <c r="A21" s="7"/>
      <c r="B21" s="32" t="s">
        <v>16</v>
      </c>
      <c r="C21" s="134">
        <v>3340</v>
      </c>
      <c r="D21" s="134">
        <v>3833</v>
      </c>
      <c r="E21" s="134">
        <v>803</v>
      </c>
      <c r="F21" s="134">
        <v>2013</v>
      </c>
      <c r="G21" s="59">
        <f t="shared" si="11"/>
        <v>9989</v>
      </c>
      <c r="H21" s="134">
        <v>1674</v>
      </c>
      <c r="I21" s="134">
        <v>2412</v>
      </c>
      <c r="J21" s="134">
        <v>1450</v>
      </c>
      <c r="K21" s="134">
        <v>1470</v>
      </c>
      <c r="L21" s="59">
        <f t="shared" si="12"/>
        <v>7006</v>
      </c>
      <c r="M21" s="134">
        <v>2907</v>
      </c>
      <c r="N21" s="134">
        <v>2746</v>
      </c>
      <c r="O21" s="134">
        <v>2129</v>
      </c>
      <c r="P21" s="134">
        <v>870</v>
      </c>
      <c r="Q21" s="59">
        <f t="shared" si="13"/>
        <v>8652</v>
      </c>
      <c r="R21" s="134">
        <v>2324</v>
      </c>
      <c r="S21" s="134">
        <v>2014</v>
      </c>
      <c r="T21" s="134">
        <v>1872</v>
      </c>
      <c r="U21" s="134">
        <v>1823</v>
      </c>
      <c r="V21" s="59">
        <f t="shared" si="14"/>
        <v>8033</v>
      </c>
      <c r="W21" s="134">
        <v>2408</v>
      </c>
      <c r="X21" s="134">
        <v>1446</v>
      </c>
      <c r="Y21" s="134">
        <v>1449</v>
      </c>
      <c r="Z21" s="134">
        <v>1364</v>
      </c>
      <c r="AA21" s="59">
        <f t="shared" si="10"/>
        <v>6667</v>
      </c>
    </row>
    <row r="22" spans="1:27" s="20" customFormat="1" ht="17.25" customHeight="1">
      <c r="A22" s="7"/>
      <c r="B22" s="26" t="s">
        <v>17</v>
      </c>
      <c r="C22" s="123">
        <v>821</v>
      </c>
      <c r="D22" s="123">
        <v>795</v>
      </c>
      <c r="E22" s="123">
        <v>859</v>
      </c>
      <c r="F22" s="123">
        <v>941</v>
      </c>
      <c r="G22" s="50">
        <f t="shared" si="11"/>
        <v>3416</v>
      </c>
      <c r="H22" s="123">
        <v>742</v>
      </c>
      <c r="I22" s="123">
        <v>643</v>
      </c>
      <c r="J22" s="123">
        <v>742</v>
      </c>
      <c r="K22" s="123">
        <v>667</v>
      </c>
      <c r="L22" s="50">
        <f t="shared" si="12"/>
        <v>2794</v>
      </c>
      <c r="M22" s="123">
        <v>713</v>
      </c>
      <c r="N22" s="123">
        <v>1079</v>
      </c>
      <c r="O22" s="123">
        <v>852</v>
      </c>
      <c r="P22" s="123">
        <v>915</v>
      </c>
      <c r="Q22" s="50">
        <f t="shared" si="13"/>
        <v>3559</v>
      </c>
      <c r="R22" s="123">
        <v>862</v>
      </c>
      <c r="S22" s="123">
        <v>933</v>
      </c>
      <c r="T22" s="123">
        <v>877</v>
      </c>
      <c r="U22" s="123">
        <v>823</v>
      </c>
      <c r="V22" s="50">
        <f t="shared" si="14"/>
        <v>3495</v>
      </c>
      <c r="W22" s="123">
        <v>887</v>
      </c>
      <c r="X22" s="123">
        <v>830</v>
      </c>
      <c r="Y22" s="123">
        <v>896</v>
      </c>
      <c r="Z22" s="123">
        <v>890</v>
      </c>
      <c r="AA22" s="50">
        <f t="shared" si="10"/>
        <v>3503</v>
      </c>
    </row>
    <row r="23" spans="1:27" s="20" customFormat="1" ht="17.25" customHeight="1">
      <c r="A23" s="7"/>
      <c r="B23" s="31" t="s">
        <v>18</v>
      </c>
      <c r="C23" s="133">
        <v>314</v>
      </c>
      <c r="D23" s="133">
        <v>343</v>
      </c>
      <c r="E23" s="133">
        <v>368</v>
      </c>
      <c r="F23" s="133">
        <v>357</v>
      </c>
      <c r="G23" s="60">
        <f t="shared" si="11"/>
        <v>1382</v>
      </c>
      <c r="H23" s="133">
        <v>349</v>
      </c>
      <c r="I23" s="133">
        <v>296</v>
      </c>
      <c r="J23" s="133">
        <v>347</v>
      </c>
      <c r="K23" s="133">
        <v>350</v>
      </c>
      <c r="L23" s="60">
        <f t="shared" si="12"/>
        <v>1342</v>
      </c>
      <c r="M23" s="133">
        <v>272</v>
      </c>
      <c r="N23" s="133">
        <v>293</v>
      </c>
      <c r="O23" s="133">
        <v>301</v>
      </c>
      <c r="P23" s="133">
        <v>289</v>
      </c>
      <c r="Q23" s="60">
        <f t="shared" si="13"/>
        <v>1155</v>
      </c>
      <c r="R23" s="133">
        <v>305</v>
      </c>
      <c r="S23" s="133">
        <v>351</v>
      </c>
      <c r="T23" s="133">
        <v>295</v>
      </c>
      <c r="U23" s="133">
        <v>301</v>
      </c>
      <c r="V23" s="60">
        <f t="shared" si="14"/>
        <v>1252</v>
      </c>
      <c r="W23" s="133">
        <v>310</v>
      </c>
      <c r="X23" s="133">
        <v>300</v>
      </c>
      <c r="Y23" s="133">
        <v>280</v>
      </c>
      <c r="Z23" s="133">
        <v>280</v>
      </c>
      <c r="AA23" s="60">
        <f t="shared" si="10"/>
        <v>1170</v>
      </c>
    </row>
    <row r="24" spans="1:27" s="20" customFormat="1" ht="17.25" customHeight="1">
      <c r="A24" s="7"/>
      <c r="B24" s="32" t="s">
        <v>19</v>
      </c>
      <c r="C24" s="57">
        <f>SUM(C22:C23)</f>
        <v>1135</v>
      </c>
      <c r="D24" s="57">
        <f>SUM(D22:D23)</f>
        <v>1138</v>
      </c>
      <c r="E24" s="57">
        <f>SUM(E22:E23)</f>
        <v>1227</v>
      </c>
      <c r="F24" s="57">
        <f>SUM(F22:F23)</f>
        <v>1298</v>
      </c>
      <c r="G24" s="57">
        <f t="shared" si="11"/>
        <v>4798</v>
      </c>
      <c r="H24" s="57">
        <f>SUM(H22:H23)</f>
        <v>1091</v>
      </c>
      <c r="I24" s="57">
        <f>SUM(I22:I23)</f>
        <v>939</v>
      </c>
      <c r="J24" s="57">
        <f>SUM(J22:J23)</f>
        <v>1089</v>
      </c>
      <c r="K24" s="57">
        <f>SUM(K22:K23)</f>
        <v>1017</v>
      </c>
      <c r="L24" s="57">
        <f t="shared" si="12"/>
        <v>4136</v>
      </c>
      <c r="M24" s="57">
        <f>SUM(M22:M23)</f>
        <v>985</v>
      </c>
      <c r="N24" s="57">
        <f>SUM(N22:N23)</f>
        <v>1372</v>
      </c>
      <c r="O24" s="57">
        <f>SUM(O22:O23)</f>
        <v>1153</v>
      </c>
      <c r="P24" s="57">
        <f>SUM(P22:P23)</f>
        <v>1204</v>
      </c>
      <c r="Q24" s="57">
        <f t="shared" si="13"/>
        <v>4714</v>
      </c>
      <c r="R24" s="57">
        <f>SUM(R22:R23)</f>
        <v>1167</v>
      </c>
      <c r="S24" s="57">
        <f>SUM(S22:S23)</f>
        <v>1284</v>
      </c>
      <c r="T24" s="57">
        <f>SUM(T22:T23)</f>
        <v>1172</v>
      </c>
      <c r="U24" s="57">
        <f>SUM(U22:U23)</f>
        <v>1124</v>
      </c>
      <c r="V24" s="57">
        <f t="shared" si="14"/>
        <v>4747</v>
      </c>
      <c r="W24" s="57">
        <f>SUM(W22:W23)</f>
        <v>1197</v>
      </c>
      <c r="X24" s="57">
        <f>SUM(X22:X23)</f>
        <v>1130</v>
      </c>
      <c r="Y24" s="57">
        <f>SUM(Y22:Y23)</f>
        <v>1176</v>
      </c>
      <c r="Z24" s="57">
        <f>SUM(Z22:Z23)</f>
        <v>1170</v>
      </c>
      <c r="AA24" s="57">
        <f t="shared" si="10"/>
        <v>4673</v>
      </c>
    </row>
    <row r="25" spans="1:27" s="20" customFormat="1" ht="17.25" customHeight="1" thickBot="1">
      <c r="A25" s="7"/>
      <c r="B25" s="30" t="s">
        <v>20</v>
      </c>
      <c r="C25" s="47">
        <f>+C21+C24</f>
        <v>4475</v>
      </c>
      <c r="D25" s="47">
        <f>+D21+D24</f>
        <v>4971</v>
      </c>
      <c r="E25" s="47">
        <f>+E21+E24</f>
        <v>2030</v>
      </c>
      <c r="F25" s="47">
        <f>+F21+F24</f>
        <v>3311</v>
      </c>
      <c r="G25" s="47">
        <f t="shared" si="11"/>
        <v>14787</v>
      </c>
      <c r="H25" s="47">
        <f>+H21+H24</f>
        <v>2765</v>
      </c>
      <c r="I25" s="47">
        <f>+I21+I24</f>
        <v>3351</v>
      </c>
      <c r="J25" s="47">
        <f>+J21+J24</f>
        <v>2539</v>
      </c>
      <c r="K25" s="47">
        <f>+K21+K24</f>
        <v>2487</v>
      </c>
      <c r="L25" s="47">
        <f t="shared" si="12"/>
        <v>11142</v>
      </c>
      <c r="M25" s="47">
        <f>+M21+M24</f>
        <v>3892</v>
      </c>
      <c r="N25" s="47">
        <f>+N21+N24</f>
        <v>4118</v>
      </c>
      <c r="O25" s="47">
        <f>+O21+O24</f>
        <v>3282</v>
      </c>
      <c r="P25" s="47">
        <f>+P21+P24</f>
        <v>2074</v>
      </c>
      <c r="Q25" s="47">
        <f t="shared" si="13"/>
        <v>13366</v>
      </c>
      <c r="R25" s="47">
        <f>+R21+R24</f>
        <v>3491</v>
      </c>
      <c r="S25" s="47">
        <f>+S21+S24</f>
        <v>3298</v>
      </c>
      <c r="T25" s="47">
        <f>+T21+T24</f>
        <v>3044</v>
      </c>
      <c r="U25" s="47">
        <f>+U21+U24</f>
        <v>2947</v>
      </c>
      <c r="V25" s="47">
        <f t="shared" si="14"/>
        <v>12780</v>
      </c>
      <c r="W25" s="47">
        <f>+W21+W24</f>
        <v>3605</v>
      </c>
      <c r="X25" s="47">
        <f>+X21+X24</f>
        <v>2576</v>
      </c>
      <c r="Y25" s="47">
        <f>+Y21+Y24</f>
        <v>2625</v>
      </c>
      <c r="Z25" s="47">
        <f>+Z21+Z24</f>
        <v>2534</v>
      </c>
      <c r="AA25" s="47">
        <f t="shared" si="10"/>
        <v>11340</v>
      </c>
    </row>
    <row r="26" spans="1:27" s="44" customFormat="1" ht="17.25" customHeight="1" thickBot="1">
      <c r="A26" s="43"/>
      <c r="B26" s="46" t="s">
        <v>109</v>
      </c>
      <c r="C26" s="47">
        <f>+C19-C20-C25</f>
        <v>2013</v>
      </c>
      <c r="D26" s="47">
        <f>+D19-D20-D25</f>
        <v>2471</v>
      </c>
      <c r="E26" s="47">
        <f>+E19-E20-E25</f>
        <v>5</v>
      </c>
      <c r="F26" s="47">
        <f>+F19-F20-F25</f>
        <v>-993</v>
      </c>
      <c r="G26" s="47">
        <f t="shared" si="11"/>
        <v>3496</v>
      </c>
      <c r="H26" s="47">
        <f>+H19-H20-H25</f>
        <v>-3423</v>
      </c>
      <c r="I26" s="47">
        <f>+I19-I20-I25</f>
        <v>304</v>
      </c>
      <c r="J26" s="47">
        <f>+J19-J20-J25</f>
        <v>-3213</v>
      </c>
      <c r="K26" s="47">
        <f>+K19-K20-K25</f>
        <v>-7460</v>
      </c>
      <c r="L26" s="47">
        <f t="shared" si="12"/>
        <v>-13792</v>
      </c>
      <c r="M26" s="47">
        <f>+M19-M20-M25</f>
        <v>2414</v>
      </c>
      <c r="N26" s="47">
        <f>+N19-N20-N25</f>
        <v>1655</v>
      </c>
      <c r="O26" s="47">
        <f>+O19-O20-O25</f>
        <v>1746</v>
      </c>
      <c r="P26" s="47">
        <f>+P19-P20-P25</f>
        <v>1030</v>
      </c>
      <c r="Q26" s="47">
        <f t="shared" si="13"/>
        <v>6845</v>
      </c>
      <c r="R26" s="47">
        <f>+R19-R20-R25</f>
        <v>1794</v>
      </c>
      <c r="S26" s="47">
        <f>+S19-S20-S25</f>
        <v>784</v>
      </c>
      <c r="T26" s="47">
        <f>+T19-T20-T25</f>
        <v>395</v>
      </c>
      <c r="U26" s="47">
        <f>+U19-U20-U25</f>
        <v>558</v>
      </c>
      <c r="V26" s="47">
        <f t="shared" si="14"/>
        <v>3531</v>
      </c>
      <c r="W26" s="47">
        <f>+W19-W20-W25</f>
        <v>1343</v>
      </c>
      <c r="X26" s="47">
        <f>+X19-X20-X25</f>
        <v>231</v>
      </c>
      <c r="Y26" s="47">
        <f>+Y19-Y20-Y25</f>
        <v>-190</v>
      </c>
      <c r="Z26" s="47">
        <f>+Z19-Z20-Z25</f>
        <v>-1305</v>
      </c>
      <c r="AA26" s="47">
        <f t="shared" si="10"/>
        <v>79</v>
      </c>
    </row>
    <row r="27" spans="1:27" s="44" customFormat="1" ht="12" customHeight="1">
      <c r="A27" s="43"/>
      <c r="B27" s="3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7.25" customHeight="1">
      <c r="A28" s="7"/>
      <c r="B28" s="13" t="s">
        <v>114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7.25" customHeight="1">
      <c r="A29" s="7"/>
      <c r="B29" s="32" t="s">
        <v>42</v>
      </c>
      <c r="C29" s="58">
        <f>+C25/C19*100</f>
        <v>68.3</v>
      </c>
      <c r="D29" s="58">
        <f>+D25/D19*100</f>
        <v>66.7</v>
      </c>
      <c r="E29" s="58">
        <f>+E25/E19*100</f>
        <v>98.7</v>
      </c>
      <c r="F29" s="58">
        <f>+F25/F19*100</f>
        <v>130.9</v>
      </c>
      <c r="G29" s="58">
        <f>+G25/G19*100</f>
        <v>79.6</v>
      </c>
      <c r="H29" s="115">
        <v>0</v>
      </c>
      <c r="I29" s="58">
        <f>+I25/I19*100</f>
        <v>90.4</v>
      </c>
      <c r="J29" s="115">
        <v>0</v>
      </c>
      <c r="K29" s="115">
        <v>0</v>
      </c>
      <c r="L29" s="115">
        <v>0</v>
      </c>
      <c r="M29" s="58">
        <f aca="true" t="shared" si="15" ref="M29:R29">+M25/M19*100</f>
        <v>60.4</v>
      </c>
      <c r="N29" s="58">
        <f t="shared" si="15"/>
        <v>68.5</v>
      </c>
      <c r="O29" s="58">
        <f t="shared" si="15"/>
        <v>65</v>
      </c>
      <c r="P29" s="58">
        <f t="shared" si="15"/>
        <v>68.3</v>
      </c>
      <c r="Q29" s="58">
        <f t="shared" si="15"/>
        <v>65.1</v>
      </c>
      <c r="R29" s="58">
        <f t="shared" si="15"/>
        <v>66.9</v>
      </c>
      <c r="S29" s="58">
        <f aca="true" t="shared" si="16" ref="S29:X29">+S25/S19*100</f>
        <v>80.5</v>
      </c>
      <c r="T29" s="58">
        <f t="shared" si="16"/>
        <v>89</v>
      </c>
      <c r="U29" s="58">
        <f t="shared" si="16"/>
        <v>84.7</v>
      </c>
      <c r="V29" s="58">
        <f t="shared" si="16"/>
        <v>78.8</v>
      </c>
      <c r="W29" s="58">
        <f t="shared" si="16"/>
        <v>73.1</v>
      </c>
      <c r="X29" s="58">
        <f t="shared" si="16"/>
        <v>91.3</v>
      </c>
      <c r="Y29" s="58">
        <f>+Y25/Y19*100</f>
        <v>105.3</v>
      </c>
      <c r="Z29" s="58">
        <f>+Z25/Z19*100</f>
        <v>202.6</v>
      </c>
      <c r="AA29" s="58">
        <f>+AA25/AA19*100</f>
        <v>98.6</v>
      </c>
    </row>
    <row r="30" spans="1:27" ht="17.25" customHeight="1" thickBot="1">
      <c r="A30" s="7"/>
      <c r="B30" s="65" t="s">
        <v>43</v>
      </c>
      <c r="C30" s="69">
        <f>+C26/C19*100</f>
        <v>30.7</v>
      </c>
      <c r="D30" s="69">
        <f>+D26/D19*100</f>
        <v>33.2</v>
      </c>
      <c r="E30" s="69">
        <f>+E26/E19*100</f>
        <v>0.2</v>
      </c>
      <c r="F30" s="158">
        <f>+F26/F19*100</f>
        <v>-39.3</v>
      </c>
      <c r="G30" s="69">
        <f>+G26/G19*100</f>
        <v>18.8</v>
      </c>
      <c r="H30" s="116">
        <v>0</v>
      </c>
      <c r="I30" s="69">
        <f>+I26/I19*100</f>
        <v>8.2</v>
      </c>
      <c r="J30" s="116">
        <v>0</v>
      </c>
      <c r="K30" s="116">
        <v>0</v>
      </c>
      <c r="L30" s="116">
        <v>0</v>
      </c>
      <c r="M30" s="69">
        <f aca="true" t="shared" si="17" ref="M30:R30">+M26/M19*100</f>
        <v>37.5</v>
      </c>
      <c r="N30" s="69">
        <f t="shared" si="17"/>
        <v>27.5</v>
      </c>
      <c r="O30" s="69">
        <f t="shared" si="17"/>
        <v>34.6</v>
      </c>
      <c r="P30" s="69">
        <f t="shared" si="17"/>
        <v>33.9</v>
      </c>
      <c r="Q30" s="69">
        <f t="shared" si="17"/>
        <v>33.3</v>
      </c>
      <c r="R30" s="69">
        <f t="shared" si="17"/>
        <v>34.4</v>
      </c>
      <c r="S30" s="69">
        <f aca="true" t="shared" si="18" ref="S30:X30">+S26/S19*100</f>
        <v>19.1</v>
      </c>
      <c r="T30" s="69">
        <f t="shared" si="18"/>
        <v>11.5</v>
      </c>
      <c r="U30" s="69">
        <f t="shared" si="18"/>
        <v>16</v>
      </c>
      <c r="V30" s="69">
        <f t="shared" si="18"/>
        <v>21.8</v>
      </c>
      <c r="W30" s="69">
        <f t="shared" si="18"/>
        <v>27.2</v>
      </c>
      <c r="X30" s="69">
        <f t="shared" si="18"/>
        <v>8.2</v>
      </c>
      <c r="Y30" s="69">
        <f>+Y26/Y19*100</f>
        <v>-7.6</v>
      </c>
      <c r="Z30" s="69">
        <f>+Z26/Z19*100</f>
        <v>-104.3</v>
      </c>
      <c r="AA30" s="69">
        <f>+AA26/AA19*100</f>
        <v>0.7</v>
      </c>
    </row>
    <row r="31" spans="1:27" ht="17.25" customHeight="1">
      <c r="A31" s="7"/>
      <c r="B31" s="1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7.25" customHeight="1">
      <c r="A32" s="7"/>
      <c r="B32" s="13" t="s">
        <v>62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20" customFormat="1" ht="30.75" customHeight="1" thickBot="1">
      <c r="A33" s="7"/>
      <c r="B33" s="144" t="s">
        <v>101</v>
      </c>
      <c r="C33" s="67">
        <v>37282</v>
      </c>
      <c r="D33" s="67">
        <v>37178</v>
      </c>
      <c r="E33" s="67">
        <v>38885</v>
      </c>
      <c r="F33" s="67">
        <v>39245</v>
      </c>
      <c r="G33" s="67">
        <v>37811</v>
      </c>
      <c r="H33" s="67">
        <v>32975</v>
      </c>
      <c r="I33" s="67">
        <v>28824</v>
      </c>
      <c r="J33" s="67">
        <v>29715</v>
      </c>
      <c r="K33" s="67">
        <v>25919</v>
      </c>
      <c r="L33" s="67">
        <v>29242</v>
      </c>
      <c r="M33" s="67">
        <v>20766</v>
      </c>
      <c r="N33" s="67">
        <v>20563</v>
      </c>
      <c r="O33" s="67">
        <v>19763</v>
      </c>
      <c r="P33" s="67">
        <v>19411</v>
      </c>
      <c r="Q33" s="67">
        <v>20155</v>
      </c>
      <c r="R33" s="67">
        <v>20885</v>
      </c>
      <c r="S33" s="67">
        <v>22566</v>
      </c>
      <c r="T33" s="67">
        <v>21416</v>
      </c>
      <c r="U33" s="67">
        <v>19412</v>
      </c>
      <c r="V33" s="67">
        <v>20735</v>
      </c>
      <c r="W33" s="67">
        <v>19668</v>
      </c>
      <c r="X33" s="67">
        <v>19967</v>
      </c>
      <c r="Y33" s="67">
        <v>19698</v>
      </c>
      <c r="Z33" s="67">
        <v>20288</v>
      </c>
      <c r="AA33" s="67">
        <v>19917</v>
      </c>
    </row>
    <row r="34" spans="1:27" s="20" customFormat="1" ht="31.5" customHeight="1" thickBot="1">
      <c r="A34" s="7"/>
      <c r="B34" s="144" t="s">
        <v>100</v>
      </c>
      <c r="C34" s="66">
        <v>22.2</v>
      </c>
      <c r="D34" s="66">
        <v>27.2</v>
      </c>
      <c r="E34" s="66">
        <v>0.6</v>
      </c>
      <c r="F34" s="66">
        <v>-9.6</v>
      </c>
      <c r="G34" s="66">
        <v>9.8</v>
      </c>
      <c r="H34" s="66">
        <v>-41.1</v>
      </c>
      <c r="I34" s="66">
        <v>4.6</v>
      </c>
      <c r="J34" s="66">
        <v>-42.8</v>
      </c>
      <c r="K34" s="66">
        <v>-114.7</v>
      </c>
      <c r="L34" s="66">
        <v>-46.7</v>
      </c>
      <c r="M34" s="66">
        <v>47.2</v>
      </c>
      <c r="N34" s="66">
        <v>32.8</v>
      </c>
      <c r="O34" s="66">
        <v>35.9</v>
      </c>
      <c r="P34" s="66">
        <v>21.9</v>
      </c>
      <c r="Q34" s="66">
        <v>34.6</v>
      </c>
      <c r="R34" s="66">
        <v>35</v>
      </c>
      <c r="S34" s="66">
        <v>14.5</v>
      </c>
      <c r="T34" s="66">
        <v>8</v>
      </c>
      <c r="U34" s="66">
        <v>12.5</v>
      </c>
      <c r="V34" s="66">
        <v>17.6</v>
      </c>
      <c r="W34" s="66">
        <v>27.8</v>
      </c>
      <c r="X34" s="66">
        <v>5.1</v>
      </c>
      <c r="Y34" s="66">
        <v>-3.3</v>
      </c>
      <c r="Z34" s="66">
        <v>-25.1</v>
      </c>
      <c r="AA34" s="66">
        <v>1</v>
      </c>
    </row>
    <row r="35" spans="1:27" ht="17.25" customHeight="1">
      <c r="A35" s="7"/>
      <c r="B35" s="11"/>
      <c r="C35" s="131"/>
      <c r="D35" s="131"/>
      <c r="E35" s="131"/>
      <c r="F35" s="131"/>
      <c r="G35" s="16"/>
      <c r="H35" s="16"/>
      <c r="I35" s="131"/>
      <c r="J35" s="131"/>
      <c r="K35" s="131"/>
      <c r="L35" s="16"/>
      <c r="M35" s="16"/>
      <c r="N35" s="16"/>
      <c r="O35" s="16"/>
      <c r="P35" s="131"/>
      <c r="Q35" s="16"/>
      <c r="R35" s="131"/>
      <c r="S35" s="131"/>
      <c r="T35" s="131"/>
      <c r="U35" s="131"/>
      <c r="V35" s="16"/>
      <c r="W35" s="131"/>
      <c r="X35" s="131"/>
      <c r="Y35" s="131"/>
      <c r="Z35" s="131"/>
      <c r="AA35" s="16"/>
    </row>
    <row r="36" spans="1:27" ht="17.25" customHeight="1">
      <c r="A36" s="7"/>
      <c r="B36" s="13" t="s">
        <v>45</v>
      </c>
      <c r="C36" s="131"/>
      <c r="D36" s="131"/>
      <c r="E36" s="131"/>
      <c r="F36" s="131"/>
      <c r="G36" s="16"/>
      <c r="H36" s="16"/>
      <c r="I36" s="131"/>
      <c r="J36" s="131"/>
      <c r="K36" s="131"/>
      <c r="L36" s="16"/>
      <c r="M36" s="16"/>
      <c r="N36" s="16"/>
      <c r="O36" s="16"/>
      <c r="P36" s="131"/>
      <c r="Q36" s="16"/>
      <c r="R36" s="131"/>
      <c r="S36" s="131"/>
      <c r="T36" s="131"/>
      <c r="U36" s="131"/>
      <c r="V36" s="16"/>
      <c r="W36" s="131"/>
      <c r="X36" s="131"/>
      <c r="Y36" s="131"/>
      <c r="Z36" s="131"/>
      <c r="AA36" s="16"/>
    </row>
    <row r="37" spans="1:27" ht="17.25" customHeight="1">
      <c r="A37" s="7"/>
      <c r="B37" s="32" t="s">
        <v>46</v>
      </c>
      <c r="C37" s="127">
        <v>1146956</v>
      </c>
      <c r="D37" s="127">
        <v>1204397</v>
      </c>
      <c r="E37" s="127">
        <v>1156573</v>
      </c>
      <c r="F37" s="127">
        <v>1140740</v>
      </c>
      <c r="G37" s="57">
        <f>+F37</f>
        <v>1140740</v>
      </c>
      <c r="H37" s="127">
        <v>997660</v>
      </c>
      <c r="I37" s="127">
        <v>1021587</v>
      </c>
      <c r="J37" s="127">
        <v>1180743</v>
      </c>
      <c r="K37" s="127">
        <v>976713</v>
      </c>
      <c r="L37" s="57">
        <f>+K37</f>
        <v>976713</v>
      </c>
      <c r="M37" s="127">
        <v>953398</v>
      </c>
      <c r="N37" s="127">
        <v>883014</v>
      </c>
      <c r="O37" s="127">
        <v>846960</v>
      </c>
      <c r="P37" s="127">
        <v>819081</v>
      </c>
      <c r="Q37" s="57">
        <f>+P37</f>
        <v>819081</v>
      </c>
      <c r="R37" s="127">
        <v>849187</v>
      </c>
      <c r="S37" s="127">
        <v>905208</v>
      </c>
      <c r="T37" s="127">
        <v>838484</v>
      </c>
      <c r="U37" s="127">
        <v>803613</v>
      </c>
      <c r="V37" s="57">
        <f>+U37</f>
        <v>803613</v>
      </c>
      <c r="W37" s="127">
        <v>779218</v>
      </c>
      <c r="X37" s="127">
        <v>741067</v>
      </c>
      <c r="Y37" s="127">
        <v>817957</v>
      </c>
      <c r="Z37" s="127">
        <v>804420</v>
      </c>
      <c r="AA37" s="57">
        <f>+Z37</f>
        <v>804420</v>
      </c>
    </row>
    <row r="38" spans="1:27" ht="17.25" customHeight="1">
      <c r="A38" s="7"/>
      <c r="B38" s="14" t="s">
        <v>47</v>
      </c>
      <c r="C38" s="127">
        <v>46405</v>
      </c>
      <c r="D38" s="127">
        <v>50104</v>
      </c>
      <c r="E38" s="127">
        <v>53097</v>
      </c>
      <c r="F38" s="127">
        <v>64892</v>
      </c>
      <c r="G38" s="57">
        <f>+F38</f>
        <v>64892</v>
      </c>
      <c r="H38" s="127">
        <v>53516</v>
      </c>
      <c r="I38" s="127">
        <v>54011</v>
      </c>
      <c r="J38" s="127">
        <v>61308</v>
      </c>
      <c r="K38" s="127">
        <v>60837</v>
      </c>
      <c r="L38" s="57">
        <f>+K38</f>
        <v>60837</v>
      </c>
      <c r="M38" s="127">
        <v>60942</v>
      </c>
      <c r="N38" s="127">
        <v>67278</v>
      </c>
      <c r="O38" s="127">
        <v>66100</v>
      </c>
      <c r="P38" s="127">
        <v>61175</v>
      </c>
      <c r="Q38" s="57">
        <f>+P38</f>
        <v>61175</v>
      </c>
      <c r="R38" s="127">
        <v>49978</v>
      </c>
      <c r="S38" s="127">
        <v>44816</v>
      </c>
      <c r="T38" s="127">
        <v>39639</v>
      </c>
      <c r="U38" s="127">
        <v>35970</v>
      </c>
      <c r="V38" s="57">
        <f>+U38</f>
        <v>35970</v>
      </c>
      <c r="W38" s="127">
        <v>36721</v>
      </c>
      <c r="X38" s="127">
        <v>33333</v>
      </c>
      <c r="Y38" s="127">
        <v>34256</v>
      </c>
      <c r="Z38" s="127">
        <v>37134</v>
      </c>
      <c r="AA38" s="57">
        <f>+Z38</f>
        <v>37134</v>
      </c>
    </row>
    <row r="39" spans="1:27" ht="17.25" customHeight="1" thickBot="1">
      <c r="A39" s="7"/>
      <c r="B39" s="65" t="s">
        <v>48</v>
      </c>
      <c r="C39" s="128">
        <v>7830</v>
      </c>
      <c r="D39" s="128">
        <v>7858</v>
      </c>
      <c r="E39" s="128">
        <v>7551</v>
      </c>
      <c r="F39" s="128">
        <v>7465</v>
      </c>
      <c r="G39" s="70">
        <f>+F39</f>
        <v>7465</v>
      </c>
      <c r="H39" s="128">
        <v>6708</v>
      </c>
      <c r="I39" s="128">
        <v>6864</v>
      </c>
      <c r="J39" s="128">
        <v>7424</v>
      </c>
      <c r="K39" s="128">
        <v>6972</v>
      </c>
      <c r="L39" s="70">
        <f>+K39</f>
        <v>6972</v>
      </c>
      <c r="M39" s="128">
        <v>7399</v>
      </c>
      <c r="N39" s="128">
        <v>7141</v>
      </c>
      <c r="O39" s="128">
        <v>6879</v>
      </c>
      <c r="P39" s="128">
        <v>6843</v>
      </c>
      <c r="Q39" s="70">
        <f>+P39</f>
        <v>6843</v>
      </c>
      <c r="R39" s="128">
        <v>6955</v>
      </c>
      <c r="S39" s="128">
        <v>7096</v>
      </c>
      <c r="T39" s="128">
        <v>6558</v>
      </c>
      <c r="U39" s="128">
        <v>6347</v>
      </c>
      <c r="V39" s="70">
        <f>+U39</f>
        <v>6347</v>
      </c>
      <c r="W39" s="128">
        <v>6226</v>
      </c>
      <c r="X39" s="128">
        <v>5836</v>
      </c>
      <c r="Y39" s="128">
        <v>6191</v>
      </c>
      <c r="Z39" s="128">
        <v>6363</v>
      </c>
      <c r="AA39" s="70">
        <f>+Z39</f>
        <v>6363</v>
      </c>
    </row>
    <row r="40" spans="1:27" ht="17.25" customHeight="1">
      <c r="A40" s="7"/>
      <c r="B40" s="11"/>
      <c r="C40" s="131"/>
      <c r="D40" s="131"/>
      <c r="E40" s="131"/>
      <c r="F40" s="131"/>
      <c r="G40" s="16"/>
      <c r="H40" s="131"/>
      <c r="I40" s="131"/>
      <c r="J40" s="131"/>
      <c r="K40" s="131"/>
      <c r="L40" s="16"/>
      <c r="M40" s="131"/>
      <c r="N40" s="131"/>
      <c r="O40" s="131"/>
      <c r="P40" s="131"/>
      <c r="Q40" s="16"/>
      <c r="R40" s="131"/>
      <c r="S40" s="131"/>
      <c r="T40" s="131"/>
      <c r="U40" s="131"/>
      <c r="V40" s="16"/>
      <c r="W40" s="131"/>
      <c r="X40" s="131"/>
      <c r="Y40" s="131"/>
      <c r="Z40" s="131"/>
      <c r="AA40" s="16"/>
    </row>
    <row r="41" spans="1:27" ht="17.25" customHeight="1">
      <c r="A41" s="7"/>
      <c r="B41" s="13" t="s">
        <v>63</v>
      </c>
      <c r="C41" s="131"/>
      <c r="D41" s="131"/>
      <c r="E41" s="131"/>
      <c r="F41" s="131"/>
      <c r="G41" s="16"/>
      <c r="H41" s="131"/>
      <c r="I41" s="131"/>
      <c r="J41" s="131"/>
      <c r="K41" s="131"/>
      <c r="L41" s="16"/>
      <c r="M41" s="131"/>
      <c r="N41" s="131"/>
      <c r="O41" s="131"/>
      <c r="P41" s="131"/>
      <c r="Q41" s="16"/>
      <c r="R41" s="131"/>
      <c r="S41" s="131"/>
      <c r="T41" s="131"/>
      <c r="U41" s="131"/>
      <c r="V41" s="16"/>
      <c r="W41" s="131"/>
      <c r="X41" s="131"/>
      <c r="Y41" s="131"/>
      <c r="Z41" s="131"/>
      <c r="AA41" s="16"/>
    </row>
    <row r="42" spans="1:27" ht="17.25" customHeight="1" thickBot="1">
      <c r="A42" s="7"/>
      <c r="B42" s="65" t="s">
        <v>64</v>
      </c>
      <c r="C42" s="152">
        <f>+'Core Results'!C42</f>
        <v>18900</v>
      </c>
      <c r="D42" s="152">
        <f>+'Core Results'!D42</f>
        <v>19200</v>
      </c>
      <c r="E42" s="152">
        <f>+'Core Results'!E42</f>
        <v>20200</v>
      </c>
      <c r="F42" s="152">
        <f>+'Core Results'!F42</f>
        <v>20500</v>
      </c>
      <c r="G42" s="70">
        <f>+F42</f>
        <v>20500</v>
      </c>
      <c r="H42" s="152">
        <f>+'Core Results'!H42</f>
        <v>20500</v>
      </c>
      <c r="I42" s="152">
        <f>+'Core Results'!I42</f>
        <v>20400</v>
      </c>
      <c r="J42" s="152">
        <f>+'Core Results'!J42</f>
        <v>21200</v>
      </c>
      <c r="K42" s="152">
        <f>+'Core Results'!K42</f>
        <v>19600</v>
      </c>
      <c r="L42" s="70">
        <f>+K42</f>
        <v>19600</v>
      </c>
      <c r="M42" s="152">
        <f>+'Core Results'!M42</f>
        <v>18800</v>
      </c>
      <c r="N42" s="152">
        <f>+'Core Results'!N42</f>
        <v>18800</v>
      </c>
      <c r="O42" s="152">
        <f>+'Core Results'!O42</f>
        <v>19300</v>
      </c>
      <c r="P42" s="152">
        <f>+'Core Results'!P42</f>
        <v>19400</v>
      </c>
      <c r="Q42" s="70">
        <f>+P42</f>
        <v>19400</v>
      </c>
      <c r="R42" s="152">
        <f>+'Core Results'!R42</f>
        <v>20000</v>
      </c>
      <c r="S42" s="152">
        <f>+'Core Results'!S42</f>
        <v>20600</v>
      </c>
      <c r="T42" s="152">
        <f>+'Core Results'!T42</f>
        <v>21200</v>
      </c>
      <c r="U42" s="152">
        <f>+'Core Results'!U42</f>
        <v>20700</v>
      </c>
      <c r="V42" s="70">
        <f>+U42</f>
        <v>20700</v>
      </c>
      <c r="W42" s="152">
        <f>+'Core Results'!W42</f>
        <v>20800</v>
      </c>
      <c r="X42" s="152">
        <f>+'Core Results'!X42</f>
        <v>21300</v>
      </c>
      <c r="Y42" s="152">
        <f>+'Core Results'!Y42</f>
        <v>21500</v>
      </c>
      <c r="Z42" s="152">
        <f>+'Core Results'!Z42</f>
        <v>20900</v>
      </c>
      <c r="AA42" s="70">
        <f>+Z42</f>
        <v>20900</v>
      </c>
    </row>
    <row r="43" spans="1:27" ht="17.25" customHeight="1">
      <c r="A43" s="7"/>
      <c r="B43" s="11"/>
      <c r="C43" s="131"/>
      <c r="D43" s="16"/>
      <c r="E43" s="16"/>
      <c r="F43" s="16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</row>
    <row r="44" spans="1:27" ht="17.25" customHeight="1">
      <c r="A44" s="7"/>
      <c r="B44" s="13" t="s">
        <v>224</v>
      </c>
      <c r="C44" s="131"/>
      <c r="D44" s="16"/>
      <c r="E44" s="16"/>
      <c r="F44" s="16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</row>
    <row r="45" spans="1:27" ht="17.25" customHeight="1">
      <c r="A45" s="7"/>
      <c r="B45" s="26" t="s">
        <v>38</v>
      </c>
      <c r="C45" s="162" t="s">
        <v>222</v>
      </c>
      <c r="D45" s="162" t="s">
        <v>222</v>
      </c>
      <c r="E45" s="162" t="s">
        <v>222</v>
      </c>
      <c r="F45" s="162" t="s">
        <v>222</v>
      </c>
      <c r="G45" s="162" t="s">
        <v>222</v>
      </c>
      <c r="H45" s="162" t="s">
        <v>222</v>
      </c>
      <c r="I45" s="162" t="s">
        <v>222</v>
      </c>
      <c r="J45" s="162" t="s">
        <v>222</v>
      </c>
      <c r="K45" s="162" t="s">
        <v>222</v>
      </c>
      <c r="L45" s="162" t="s">
        <v>222</v>
      </c>
      <c r="M45" s="162">
        <v>161</v>
      </c>
      <c r="N45" s="123">
        <v>202</v>
      </c>
      <c r="O45" s="123">
        <v>136</v>
      </c>
      <c r="P45" s="123">
        <v>110</v>
      </c>
      <c r="Q45" s="162">
        <v>152</v>
      </c>
      <c r="R45" s="123">
        <v>97</v>
      </c>
      <c r="S45" s="123">
        <v>90</v>
      </c>
      <c r="T45" s="123">
        <v>99</v>
      </c>
      <c r="U45" s="123">
        <v>90</v>
      </c>
      <c r="V45" s="123">
        <v>94</v>
      </c>
      <c r="W45" s="123">
        <v>80</v>
      </c>
      <c r="X45" s="123">
        <v>66</v>
      </c>
      <c r="Y45" s="123">
        <v>69</v>
      </c>
      <c r="Z45" s="123">
        <v>75</v>
      </c>
      <c r="AA45" s="123">
        <v>72</v>
      </c>
    </row>
    <row r="46" spans="1:27" ht="17.25" customHeight="1">
      <c r="A46" s="7"/>
      <c r="B46" s="17" t="s">
        <v>39</v>
      </c>
      <c r="C46" s="163" t="s">
        <v>222</v>
      </c>
      <c r="D46" s="163" t="s">
        <v>222</v>
      </c>
      <c r="E46" s="163" t="s">
        <v>222</v>
      </c>
      <c r="F46" s="163" t="s">
        <v>222</v>
      </c>
      <c r="G46" s="163" t="s">
        <v>222</v>
      </c>
      <c r="H46" s="163" t="s">
        <v>222</v>
      </c>
      <c r="I46" s="163" t="s">
        <v>222</v>
      </c>
      <c r="J46" s="163" t="s">
        <v>222</v>
      </c>
      <c r="K46" s="163" t="s">
        <v>222</v>
      </c>
      <c r="L46" s="163" t="s">
        <v>222</v>
      </c>
      <c r="M46" s="163">
        <v>36</v>
      </c>
      <c r="N46" s="118">
        <v>24</v>
      </c>
      <c r="O46" s="118">
        <v>12</v>
      </c>
      <c r="P46" s="118">
        <v>14</v>
      </c>
      <c r="Q46" s="163">
        <v>21</v>
      </c>
      <c r="R46" s="118">
        <v>12</v>
      </c>
      <c r="S46" s="118">
        <v>17</v>
      </c>
      <c r="T46" s="118">
        <v>21</v>
      </c>
      <c r="U46" s="118">
        <v>18</v>
      </c>
      <c r="V46" s="118">
        <v>17</v>
      </c>
      <c r="W46" s="118">
        <v>14</v>
      </c>
      <c r="X46" s="118">
        <v>13</v>
      </c>
      <c r="Y46" s="118">
        <v>10</v>
      </c>
      <c r="Z46" s="118">
        <v>14</v>
      </c>
      <c r="AA46" s="118">
        <v>24</v>
      </c>
    </row>
    <row r="47" spans="1:27" ht="17.25" customHeight="1">
      <c r="A47" s="7"/>
      <c r="B47" s="17" t="s">
        <v>40</v>
      </c>
      <c r="C47" s="163" t="s">
        <v>222</v>
      </c>
      <c r="D47" s="163" t="s">
        <v>222</v>
      </c>
      <c r="E47" s="163" t="s">
        <v>222</v>
      </c>
      <c r="F47" s="163" t="s">
        <v>222</v>
      </c>
      <c r="G47" s="163" t="s">
        <v>222</v>
      </c>
      <c r="H47" s="163" t="s">
        <v>222</v>
      </c>
      <c r="I47" s="163" t="s">
        <v>222</v>
      </c>
      <c r="J47" s="163" t="s">
        <v>222</v>
      </c>
      <c r="K47" s="163" t="s">
        <v>222</v>
      </c>
      <c r="L47" s="163" t="s">
        <v>222</v>
      </c>
      <c r="M47" s="163">
        <v>20</v>
      </c>
      <c r="N47" s="118">
        <v>30</v>
      </c>
      <c r="O47" s="118">
        <v>26</v>
      </c>
      <c r="P47" s="118">
        <v>23</v>
      </c>
      <c r="Q47" s="163">
        <v>25</v>
      </c>
      <c r="R47" s="118">
        <v>20</v>
      </c>
      <c r="S47" s="118">
        <v>19</v>
      </c>
      <c r="T47" s="118">
        <v>19</v>
      </c>
      <c r="U47" s="118">
        <v>23</v>
      </c>
      <c r="V47" s="118">
        <v>20</v>
      </c>
      <c r="W47" s="118">
        <v>18</v>
      </c>
      <c r="X47" s="118">
        <v>12</v>
      </c>
      <c r="Y47" s="118">
        <v>7</v>
      </c>
      <c r="Z47" s="118">
        <v>3</v>
      </c>
      <c r="AA47" s="118">
        <v>10</v>
      </c>
    </row>
    <row r="48" spans="1:27" ht="17.25" customHeight="1">
      <c r="A48" s="7"/>
      <c r="B48" s="17" t="s">
        <v>3</v>
      </c>
      <c r="C48" s="163" t="s">
        <v>222</v>
      </c>
      <c r="D48" s="163" t="s">
        <v>222</v>
      </c>
      <c r="E48" s="163" t="s">
        <v>222</v>
      </c>
      <c r="F48" s="163" t="s">
        <v>222</v>
      </c>
      <c r="G48" s="163" t="s">
        <v>222</v>
      </c>
      <c r="H48" s="163" t="s">
        <v>222</v>
      </c>
      <c r="I48" s="163" t="s">
        <v>222</v>
      </c>
      <c r="J48" s="163" t="s">
        <v>222</v>
      </c>
      <c r="K48" s="163" t="s">
        <v>222</v>
      </c>
      <c r="L48" s="163" t="s">
        <v>222</v>
      </c>
      <c r="M48" s="163">
        <v>37</v>
      </c>
      <c r="N48" s="118">
        <v>34</v>
      </c>
      <c r="O48" s="118">
        <v>27</v>
      </c>
      <c r="P48" s="118">
        <v>29</v>
      </c>
      <c r="Q48" s="163">
        <v>32</v>
      </c>
      <c r="R48" s="118">
        <v>25</v>
      </c>
      <c r="S48" s="118">
        <v>26</v>
      </c>
      <c r="T48" s="118">
        <v>29</v>
      </c>
      <c r="U48" s="118">
        <v>23</v>
      </c>
      <c r="V48" s="118">
        <v>26</v>
      </c>
      <c r="W48" s="118">
        <v>23</v>
      </c>
      <c r="X48" s="118">
        <v>28</v>
      </c>
      <c r="Y48" s="118">
        <v>20</v>
      </c>
      <c r="Z48" s="118">
        <v>23</v>
      </c>
      <c r="AA48" s="118">
        <v>13</v>
      </c>
    </row>
    <row r="49" spans="1:27" ht="17.25" customHeight="1">
      <c r="A49" s="7"/>
      <c r="B49" s="34" t="s">
        <v>41</v>
      </c>
      <c r="C49" s="164" t="s">
        <v>222</v>
      </c>
      <c r="D49" s="164" t="s">
        <v>222</v>
      </c>
      <c r="E49" s="164" t="s">
        <v>222</v>
      </c>
      <c r="F49" s="164" t="s">
        <v>222</v>
      </c>
      <c r="G49" s="164" t="s">
        <v>222</v>
      </c>
      <c r="H49" s="164" t="s">
        <v>222</v>
      </c>
      <c r="I49" s="164" t="s">
        <v>222</v>
      </c>
      <c r="J49" s="164" t="s">
        <v>222</v>
      </c>
      <c r="K49" s="164" t="s">
        <v>222</v>
      </c>
      <c r="L49" s="164" t="s">
        <v>222</v>
      </c>
      <c r="M49" s="164">
        <v>-91</v>
      </c>
      <c r="N49" s="136">
        <v>-101</v>
      </c>
      <c r="O49" s="136">
        <v>-76</v>
      </c>
      <c r="P49" s="136">
        <v>-73</v>
      </c>
      <c r="Q49" s="164">
        <v>-85</v>
      </c>
      <c r="R49" s="136">
        <v>-65</v>
      </c>
      <c r="S49" s="136">
        <v>-59</v>
      </c>
      <c r="T49" s="136">
        <v>-58</v>
      </c>
      <c r="U49" s="136">
        <v>-63</v>
      </c>
      <c r="V49" s="136">
        <v>-61</v>
      </c>
      <c r="W49" s="136">
        <v>-58</v>
      </c>
      <c r="X49" s="136">
        <v>-48</v>
      </c>
      <c r="Y49" s="136">
        <v>-30</v>
      </c>
      <c r="Z49" s="136">
        <v>-38</v>
      </c>
      <c r="AA49" s="136">
        <v>-44</v>
      </c>
    </row>
    <row r="50" spans="1:27" ht="17.25" customHeight="1" thickBot="1">
      <c r="A50" s="7"/>
      <c r="B50" s="30" t="s">
        <v>221</v>
      </c>
      <c r="C50" s="47" t="s">
        <v>222</v>
      </c>
      <c r="D50" s="47" t="s">
        <v>222</v>
      </c>
      <c r="E50" s="47" t="s">
        <v>222</v>
      </c>
      <c r="F50" s="47" t="s">
        <v>222</v>
      </c>
      <c r="G50" s="47" t="s">
        <v>222</v>
      </c>
      <c r="H50" s="47" t="s">
        <v>222</v>
      </c>
      <c r="I50" s="47" t="s">
        <v>222</v>
      </c>
      <c r="J50" s="47" t="s">
        <v>222</v>
      </c>
      <c r="K50" s="47" t="s">
        <v>222</v>
      </c>
      <c r="L50" s="47" t="s">
        <v>222</v>
      </c>
      <c r="M50" s="47">
        <f>SUM(M45:M49)</f>
        <v>163</v>
      </c>
      <c r="N50" s="47">
        <v>190</v>
      </c>
      <c r="O50" s="47">
        <f aca="true" t="shared" si="19" ref="O50:T50">SUM(O45:O49)</f>
        <v>125</v>
      </c>
      <c r="P50" s="47">
        <f t="shared" si="19"/>
        <v>103</v>
      </c>
      <c r="Q50" s="47">
        <f t="shared" si="19"/>
        <v>145</v>
      </c>
      <c r="R50" s="47">
        <f t="shared" si="19"/>
        <v>89</v>
      </c>
      <c r="S50" s="47">
        <v>94</v>
      </c>
      <c r="T50" s="47">
        <f t="shared" si="19"/>
        <v>110</v>
      </c>
      <c r="U50" s="47">
        <f aca="true" t="shared" si="20" ref="U50:AA50">SUM(U45:U49)</f>
        <v>91</v>
      </c>
      <c r="V50" s="47">
        <f t="shared" si="20"/>
        <v>96</v>
      </c>
      <c r="W50" s="47">
        <f t="shared" si="20"/>
        <v>77</v>
      </c>
      <c r="X50" s="47">
        <f t="shared" si="20"/>
        <v>71</v>
      </c>
      <c r="Y50" s="47">
        <f t="shared" si="20"/>
        <v>76</v>
      </c>
      <c r="Z50" s="47">
        <f t="shared" si="20"/>
        <v>77</v>
      </c>
      <c r="AA50" s="47">
        <f t="shared" si="20"/>
        <v>75</v>
      </c>
    </row>
    <row r="51" spans="1:27" ht="17.25" customHeight="1">
      <c r="A51" s="7"/>
      <c r="B51" s="1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7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1.25" customHeight="1">
      <c r="A53" s="7"/>
      <c r="B53" s="1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7.25" customHeight="1">
      <c r="A54" s="7"/>
      <c r="B54" s="12" t="s"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7" ht="13.5" customHeight="1"/>
    <row r="73" ht="11.25" customHeight="1"/>
  </sheetData>
  <sheetProtection/>
  <mergeCells count="1">
    <mergeCell ref="B1:B2"/>
  </mergeCells>
  <conditionalFormatting sqref="C16:AA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75" r:id="rId1"/>
  <headerFooter alignWithMargins="0">
    <oddFooter>&amp;C&amp;A</oddFooter>
  </headerFooter>
  <rowBreaks count="1" manualBreakCount="1">
    <brk id="3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Richter Marc (TIA)</cp:lastModifiedBy>
  <cp:lastPrinted>2012-02-08T21:55:03Z</cp:lastPrinted>
  <dcterms:created xsi:type="dcterms:W3CDTF">2007-04-25T19:38:13Z</dcterms:created>
  <dcterms:modified xsi:type="dcterms:W3CDTF">2012-02-08T21:57:16Z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176436905</vt:i4>
  </property>
  <property fmtid="{D5CDD505-2E9C-101B-9397-08002B2CF9AE}" pid="4" name="_NewReviewCyc">
    <vt:lpwstr/>
  </property>
  <property fmtid="{D5CDD505-2E9C-101B-9397-08002B2CF9AE}" pid="5" name="_EmailSubje">
    <vt:lpwstr>4Q Excel files</vt:lpwstr>
  </property>
  <property fmtid="{D5CDD505-2E9C-101B-9397-08002B2CF9AE}" pid="6" name="_AuthorEma">
    <vt:lpwstr>marc.richter@credit-suisse.com</vt:lpwstr>
  </property>
  <property fmtid="{D5CDD505-2E9C-101B-9397-08002B2CF9AE}" pid="7" name="_AuthorEmailDisplayNa">
    <vt:lpwstr>Richter Marc (TIA)</vt:lpwstr>
  </property>
</Properties>
</file>